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P:\Cadre de vie\Développement territorial\Environnement\Publications\Actualités\2025\"/>
    </mc:Choice>
  </mc:AlternateContent>
  <xr:revisionPtr revIDLastSave="0" documentId="8_{27782643-8027-436A-9090-090E46ECA0FF}" xr6:coauthVersionLast="47" xr6:coauthVersionMax="47" xr10:uidLastSave="{00000000-0000-0000-0000-000000000000}"/>
  <workbookProtection workbookAlgorithmName="SHA-512" workbookHashValue="1kS2f4mWCQo3D/7H5Ws0gzY5h9iT2cn6VCGW92Hj2ZQJUvAk7+7mG332FQFqUE83oMuHaOHQSBjo3dD9owPHzw==" workbookSaltValue="QcWUa8b1lFUHz9Oz8PZsQg==" workbookSpinCount="100000" lockStructure="1"/>
  <bookViews>
    <workbookView xWindow="-28920" yWindow="-120" windowWidth="29040" windowHeight="15720" xr2:uid="{3A5AA757-2095-4692-9B52-889E7E9DAF7E}"/>
  </bookViews>
  <sheets>
    <sheet name="Readme" sheetId="11" r:id="rId1"/>
    <sheet name="Signalétique" sheetId="2" r:id="rId2"/>
    <sheet name="Balayage manuel" sheetId="1" r:id="rId3"/>
    <sheet name="Balayage mécanique" sheetId="6" r:id="rId4"/>
    <sheet name="Infrastructures de collecte" sheetId="8" r:id="rId5"/>
    <sheet name="Nettoyage Plages" sheetId="7" r:id="rId6"/>
    <sheet name="Calculs intermédiaires" sheetId="4" state="hidden" r:id="rId7"/>
    <sheet name="Résultats" sheetId="5" state="hidden" r:id="rId8"/>
    <sheet name="Données communes" sheetId="3" state="hidden" r:id="rId9"/>
    <sheet name="Paramètres" sheetId="9" state="hidden" r:id="rId10"/>
  </sheets>
  <definedNames>
    <definedName name="_xlnm._FilterDatabase" localSheetId="8" hidden="1">'Données communes'!$A$1:$K$582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7" l="1"/>
  <c r="D54" i="6"/>
  <c r="D55" i="6" s="1"/>
  <c r="AC2" i="5" a="1"/>
  <c r="AC2" i="5" s="1"/>
  <c r="D44" i="7" l="1"/>
  <c r="D43" i="7"/>
  <c r="D42" i="7"/>
  <c r="D41" i="7"/>
  <c r="D40" i="7"/>
  <c r="D39" i="7"/>
  <c r="D38" i="7"/>
  <c r="D37" i="7"/>
  <c r="D36" i="7"/>
  <c r="D35" i="7"/>
  <c r="D67" i="8"/>
  <c r="D66" i="8"/>
  <c r="D65" i="8"/>
  <c r="D64" i="8"/>
  <c r="D63" i="8"/>
  <c r="D46" i="8"/>
  <c r="D45" i="8"/>
  <c r="D44" i="8"/>
  <c r="D43" i="8"/>
  <c r="D42" i="8"/>
  <c r="D41" i="8"/>
  <c r="D40" i="8"/>
  <c r="D39" i="8"/>
  <c r="D38" i="8"/>
  <c r="D37" i="8"/>
  <c r="D41" i="6"/>
  <c r="D40" i="6"/>
  <c r="D39" i="6"/>
  <c r="D38" i="6"/>
  <c r="D37" i="6"/>
  <c r="D36" i="6"/>
  <c r="D35" i="6"/>
  <c r="D34" i="6"/>
  <c r="D33" i="6"/>
  <c r="D32" i="6"/>
  <c r="D31" i="6"/>
  <c r="D30" i="6"/>
  <c r="D38" i="1" l="1"/>
  <c r="D37" i="1"/>
  <c r="D36" i="1"/>
  <c r="D35" i="1"/>
  <c r="D34" i="1"/>
  <c r="D33" i="1"/>
  <c r="D32" i="1"/>
  <c r="D31" i="1"/>
  <c r="D30" i="1"/>
  <c r="D29" i="1"/>
  <c r="D28" i="1"/>
  <c r="D21" i="7"/>
  <c r="B41" i="6"/>
  <c r="C41" i="6"/>
  <c r="D52" i="1"/>
  <c r="D53" i="1" s="1"/>
  <c r="D73" i="6"/>
  <c r="D74" i="6" s="1"/>
  <c r="D45" i="7" l="1"/>
  <c r="D61" i="1"/>
  <c r="AV2" i="5" a="1"/>
  <c r="AV2" i="5" s="1"/>
  <c r="AU2" i="5" a="1"/>
  <c r="AU2" i="5" s="1"/>
  <c r="AT2" i="5" a="1"/>
  <c r="AT2" i="5" s="1"/>
  <c r="AE2" i="5" a="1"/>
  <c r="AE2" i="5" s="1"/>
  <c r="AD2" i="5" a="1"/>
  <c r="AD2" i="5" s="1"/>
  <c r="AA2" i="5" a="1"/>
  <c r="AA2" i="5" s="1"/>
  <c r="Z2" i="5" a="1"/>
  <c r="Z2" i="5" s="1"/>
  <c r="Y2" i="5" a="1"/>
  <c r="Y2" i="5" s="1"/>
  <c r="Q2" i="5" a="1"/>
  <c r="Q2" i="5" s="1"/>
  <c r="P2" i="5" a="1"/>
  <c r="P2" i="5" s="1"/>
  <c r="P247" i="3"/>
  <c r="Q247" i="3"/>
  <c r="P33" i="3"/>
  <c r="Q33" i="3"/>
  <c r="P56" i="3"/>
  <c r="Q56" i="3"/>
  <c r="P251" i="3"/>
  <c r="Q251" i="3"/>
  <c r="P54" i="3"/>
  <c r="Q54" i="3"/>
  <c r="P11" i="3"/>
  <c r="Q11" i="3"/>
  <c r="P132" i="3"/>
  <c r="Q132" i="3"/>
  <c r="P237" i="3"/>
  <c r="Q237" i="3"/>
  <c r="P238" i="3"/>
  <c r="Q238" i="3"/>
  <c r="P180" i="3"/>
  <c r="Q180" i="3"/>
  <c r="P225" i="3"/>
  <c r="Q225" i="3"/>
  <c r="P167" i="3"/>
  <c r="Q167" i="3"/>
  <c r="P128" i="3"/>
  <c r="Q128" i="3"/>
  <c r="P124" i="3"/>
  <c r="Q124" i="3"/>
  <c r="P141" i="3"/>
  <c r="Q141" i="3"/>
  <c r="P253" i="3"/>
  <c r="Q253" i="3"/>
  <c r="P121" i="3"/>
  <c r="Q121" i="3"/>
  <c r="P57" i="3"/>
  <c r="Q57" i="3"/>
  <c r="P142" i="3"/>
  <c r="Q142" i="3"/>
  <c r="P246" i="3"/>
  <c r="Q246" i="3"/>
  <c r="P166" i="3"/>
  <c r="Q166" i="3"/>
  <c r="P205" i="3"/>
  <c r="Q205" i="3"/>
  <c r="P3" i="3"/>
  <c r="Q3" i="3"/>
  <c r="P159" i="3"/>
  <c r="Q159" i="3"/>
  <c r="P182" i="3"/>
  <c r="Q182" i="3"/>
  <c r="P10" i="3"/>
  <c r="Q10" i="3"/>
  <c r="P53" i="3"/>
  <c r="Q53" i="3"/>
  <c r="P223" i="3"/>
  <c r="Q223" i="3"/>
  <c r="P254" i="3"/>
  <c r="Q254" i="3"/>
  <c r="P261" i="3"/>
  <c r="Q261" i="3"/>
  <c r="P175" i="3"/>
  <c r="Q175" i="3"/>
  <c r="P91" i="3"/>
  <c r="Q91" i="3"/>
  <c r="P157" i="3"/>
  <c r="Q157" i="3"/>
  <c r="P72" i="3"/>
  <c r="Q72" i="3"/>
  <c r="P230" i="3"/>
  <c r="Q230" i="3"/>
  <c r="P234" i="3"/>
  <c r="Q234" i="3"/>
  <c r="P46" i="3"/>
  <c r="Q46" i="3"/>
  <c r="P35" i="3"/>
  <c r="Q35" i="3"/>
  <c r="P49" i="3"/>
  <c r="Q49" i="3"/>
  <c r="P221" i="3"/>
  <c r="Q221" i="3"/>
  <c r="P117" i="3"/>
  <c r="Q117" i="3"/>
  <c r="P92" i="3"/>
  <c r="Q92" i="3"/>
  <c r="P12" i="3"/>
  <c r="Q12" i="3"/>
  <c r="P105" i="3"/>
  <c r="Q105" i="3"/>
  <c r="P94" i="3"/>
  <c r="Q94" i="3"/>
  <c r="P136" i="3"/>
  <c r="Q136" i="3"/>
  <c r="P32" i="3"/>
  <c r="Q32" i="3"/>
  <c r="P104" i="3"/>
  <c r="Q104" i="3"/>
  <c r="P257" i="3"/>
  <c r="Q257" i="3"/>
  <c r="P70" i="3"/>
  <c r="Q70" i="3"/>
  <c r="P192" i="3"/>
  <c r="Q192" i="3"/>
  <c r="P224" i="3"/>
  <c r="Q224" i="3"/>
  <c r="P39" i="3"/>
  <c r="Q39" i="3"/>
  <c r="P240" i="3"/>
  <c r="Q240" i="3"/>
  <c r="P13" i="3"/>
  <c r="Q13" i="3"/>
  <c r="P62" i="3"/>
  <c r="Q62" i="3"/>
  <c r="P18" i="3"/>
  <c r="Q18" i="3"/>
  <c r="P61" i="3"/>
  <c r="Q61" i="3"/>
  <c r="P243" i="3"/>
  <c r="Q243" i="3"/>
  <c r="P65" i="3"/>
  <c r="Q65" i="3"/>
  <c r="P139" i="3"/>
  <c r="Q139" i="3"/>
  <c r="P67" i="3"/>
  <c r="Q67" i="3"/>
  <c r="P126" i="3"/>
  <c r="Q126" i="3"/>
  <c r="P15" i="3"/>
  <c r="Q15" i="3"/>
  <c r="P16" i="3"/>
  <c r="Q16" i="3"/>
  <c r="P5" i="3"/>
  <c r="Q5" i="3"/>
  <c r="P64" i="3"/>
  <c r="Q64" i="3"/>
  <c r="P169" i="3"/>
  <c r="Q169" i="3"/>
  <c r="P260" i="3"/>
  <c r="Q260" i="3"/>
  <c r="P68" i="3"/>
  <c r="Q68" i="3"/>
  <c r="P99" i="3"/>
  <c r="Q99" i="3"/>
  <c r="P153" i="3"/>
  <c r="Q153" i="3"/>
  <c r="P193" i="3"/>
  <c r="Q193" i="3"/>
  <c r="P86" i="3"/>
  <c r="Q86" i="3"/>
  <c r="P140" i="3"/>
  <c r="Q140" i="3"/>
  <c r="P6" i="3"/>
  <c r="Q6" i="3"/>
  <c r="P48" i="3"/>
  <c r="Q48" i="3"/>
  <c r="P151" i="3"/>
  <c r="Q151" i="3"/>
  <c r="P2" i="3"/>
  <c r="Q2" i="3"/>
  <c r="P4" i="3"/>
  <c r="Q4" i="3"/>
  <c r="P7" i="3"/>
  <c r="Q7" i="3"/>
  <c r="P8" i="3"/>
  <c r="Q8" i="3"/>
  <c r="P9" i="3"/>
  <c r="Q9" i="3"/>
  <c r="P14" i="3"/>
  <c r="Q14" i="3"/>
  <c r="P17" i="3"/>
  <c r="Q17" i="3"/>
  <c r="P19" i="3"/>
  <c r="Q19" i="3"/>
  <c r="P20" i="3"/>
  <c r="Q20" i="3"/>
  <c r="P22" i="3"/>
  <c r="Q22" i="3"/>
  <c r="P23" i="3"/>
  <c r="Q23" i="3"/>
  <c r="P24" i="3"/>
  <c r="Q24" i="3"/>
  <c r="P25" i="3"/>
  <c r="Q25" i="3"/>
  <c r="P26" i="3"/>
  <c r="Q26" i="3"/>
  <c r="P27" i="3"/>
  <c r="Q27" i="3"/>
  <c r="P28" i="3"/>
  <c r="Q28" i="3"/>
  <c r="P29" i="3"/>
  <c r="Q29" i="3"/>
  <c r="P30" i="3"/>
  <c r="Q30" i="3"/>
  <c r="P31" i="3"/>
  <c r="Q31" i="3"/>
  <c r="P36" i="3"/>
  <c r="Q36" i="3"/>
  <c r="P37" i="3"/>
  <c r="Q37" i="3"/>
  <c r="P38" i="3"/>
  <c r="Q38" i="3"/>
  <c r="P40" i="3"/>
  <c r="Q40" i="3"/>
  <c r="P41" i="3"/>
  <c r="Q41" i="3"/>
  <c r="P42" i="3"/>
  <c r="Q42" i="3"/>
  <c r="P43" i="3"/>
  <c r="Q43" i="3"/>
  <c r="P44" i="3"/>
  <c r="Q44" i="3"/>
  <c r="P45" i="3"/>
  <c r="Q45" i="3"/>
  <c r="P47" i="3"/>
  <c r="Q47" i="3"/>
  <c r="P50" i="3"/>
  <c r="Q50" i="3"/>
  <c r="P51" i="3"/>
  <c r="Q51" i="3"/>
  <c r="P55" i="3"/>
  <c r="Q55" i="3"/>
  <c r="P58" i="3"/>
  <c r="Q58" i="3"/>
  <c r="P59" i="3"/>
  <c r="Q59" i="3"/>
  <c r="P60" i="3"/>
  <c r="Q60" i="3"/>
  <c r="P63" i="3"/>
  <c r="Q63" i="3"/>
  <c r="P66" i="3"/>
  <c r="Q66" i="3"/>
  <c r="P69" i="3"/>
  <c r="Q69" i="3"/>
  <c r="P75" i="3"/>
  <c r="Q75" i="3"/>
  <c r="P76" i="3"/>
  <c r="Q76" i="3"/>
  <c r="P77" i="3"/>
  <c r="Q77" i="3"/>
  <c r="P78" i="3"/>
  <c r="Q78" i="3"/>
  <c r="P80" i="3"/>
  <c r="Q80" i="3"/>
  <c r="P81" i="3"/>
  <c r="Q81" i="3"/>
  <c r="P82" i="3"/>
  <c r="Q82" i="3"/>
  <c r="P83" i="3"/>
  <c r="Q83" i="3"/>
  <c r="P84" i="3"/>
  <c r="Q84" i="3"/>
  <c r="P87" i="3"/>
  <c r="Q87" i="3"/>
  <c r="P88" i="3"/>
  <c r="Q88" i="3"/>
  <c r="P89" i="3"/>
  <c r="Q89" i="3"/>
  <c r="P90" i="3"/>
  <c r="Q90" i="3"/>
  <c r="P85" i="3"/>
  <c r="Q85" i="3"/>
  <c r="P93" i="3"/>
  <c r="Q93" i="3"/>
  <c r="P95" i="3"/>
  <c r="Q95" i="3"/>
  <c r="P96" i="3"/>
  <c r="Q96" i="3"/>
  <c r="P97" i="3"/>
  <c r="Q97" i="3"/>
  <c r="P98" i="3"/>
  <c r="Q98" i="3"/>
  <c r="P100" i="3"/>
  <c r="Q100" i="3"/>
  <c r="P101" i="3"/>
  <c r="Q101" i="3"/>
  <c r="P102" i="3"/>
  <c r="Q102" i="3"/>
  <c r="P103" i="3"/>
  <c r="Q103" i="3"/>
  <c r="P106" i="3"/>
  <c r="Q106" i="3"/>
  <c r="P107" i="3"/>
  <c r="Q107" i="3"/>
  <c r="P108" i="3"/>
  <c r="Q108" i="3"/>
  <c r="P109" i="3"/>
  <c r="Q109" i="3"/>
  <c r="P110" i="3"/>
  <c r="Q110" i="3"/>
  <c r="P111" i="3"/>
  <c r="Q111" i="3"/>
  <c r="P112" i="3"/>
  <c r="Q112" i="3"/>
  <c r="P113" i="3"/>
  <c r="Q113" i="3"/>
  <c r="P114" i="3"/>
  <c r="Q114" i="3"/>
  <c r="P115" i="3"/>
  <c r="Q115" i="3"/>
  <c r="P116" i="3"/>
  <c r="Q116" i="3"/>
  <c r="P118" i="3"/>
  <c r="Q118" i="3"/>
  <c r="P119" i="3"/>
  <c r="Q119" i="3"/>
  <c r="P120" i="3"/>
  <c r="Q120" i="3"/>
  <c r="P122" i="3"/>
  <c r="Q122" i="3"/>
  <c r="P123" i="3"/>
  <c r="Q123" i="3"/>
  <c r="P125" i="3"/>
  <c r="Q125" i="3"/>
  <c r="P127" i="3"/>
  <c r="Q127" i="3"/>
  <c r="P129" i="3"/>
  <c r="Q129" i="3"/>
  <c r="P133" i="3"/>
  <c r="Q133" i="3"/>
  <c r="P134" i="3"/>
  <c r="Q134" i="3"/>
  <c r="P135" i="3"/>
  <c r="Q135" i="3"/>
  <c r="P138" i="3"/>
  <c r="Q138" i="3"/>
  <c r="P137" i="3"/>
  <c r="Q137" i="3"/>
  <c r="P143" i="3"/>
  <c r="Q143" i="3"/>
  <c r="P144" i="3"/>
  <c r="Q144" i="3"/>
  <c r="P145" i="3"/>
  <c r="Q145" i="3"/>
  <c r="P146" i="3"/>
  <c r="Q146" i="3"/>
  <c r="P147" i="3"/>
  <c r="Q147" i="3"/>
  <c r="P148" i="3"/>
  <c r="Q148" i="3"/>
  <c r="P149" i="3"/>
  <c r="Q149" i="3"/>
  <c r="P150" i="3"/>
  <c r="Q150" i="3"/>
  <c r="P152" i="3"/>
  <c r="Q152" i="3"/>
  <c r="P154" i="3"/>
  <c r="Q154" i="3"/>
  <c r="P155" i="3"/>
  <c r="Q155" i="3"/>
  <c r="P156" i="3"/>
  <c r="Q156" i="3"/>
  <c r="P172" i="3"/>
  <c r="Q172" i="3"/>
  <c r="P158" i="3"/>
  <c r="Q158" i="3"/>
  <c r="P160" i="3"/>
  <c r="Q160" i="3"/>
  <c r="P161" i="3"/>
  <c r="Q161" i="3"/>
  <c r="P162" i="3"/>
  <c r="Q162" i="3"/>
  <c r="P163" i="3"/>
  <c r="Q163" i="3"/>
  <c r="P164" i="3"/>
  <c r="Q164" i="3"/>
  <c r="P165" i="3"/>
  <c r="Q165" i="3"/>
  <c r="P168" i="3"/>
  <c r="Q168" i="3"/>
  <c r="P170" i="3"/>
  <c r="Q170" i="3"/>
  <c r="P174" i="3"/>
  <c r="Q174" i="3"/>
  <c r="P176" i="3"/>
  <c r="Q176" i="3"/>
  <c r="P177" i="3"/>
  <c r="Q177" i="3"/>
  <c r="P178" i="3"/>
  <c r="Q178" i="3"/>
  <c r="P179" i="3"/>
  <c r="Q179" i="3"/>
  <c r="P181" i="3"/>
  <c r="Q181" i="3"/>
  <c r="P183" i="3"/>
  <c r="Q183" i="3"/>
  <c r="P184" i="3"/>
  <c r="Q184" i="3"/>
  <c r="P173" i="3"/>
  <c r="Q173" i="3"/>
  <c r="P185" i="3"/>
  <c r="Q185" i="3"/>
  <c r="P186" i="3"/>
  <c r="Q186" i="3"/>
  <c r="P187" i="3"/>
  <c r="Q187" i="3"/>
  <c r="P188" i="3"/>
  <c r="Q188" i="3"/>
  <c r="P189" i="3"/>
  <c r="Q189" i="3"/>
  <c r="P190" i="3"/>
  <c r="Q190" i="3"/>
  <c r="P194" i="3"/>
  <c r="Q194" i="3"/>
  <c r="P191" i="3"/>
  <c r="Q191" i="3"/>
  <c r="P195" i="3"/>
  <c r="Q195" i="3"/>
  <c r="P196" i="3"/>
  <c r="Q196" i="3"/>
  <c r="P197" i="3"/>
  <c r="Q197" i="3"/>
  <c r="P198" i="3"/>
  <c r="Q198" i="3"/>
  <c r="P199" i="3"/>
  <c r="Q199" i="3"/>
  <c r="P200" i="3"/>
  <c r="Q200" i="3"/>
  <c r="P201" i="3"/>
  <c r="Q201" i="3"/>
  <c r="P202" i="3"/>
  <c r="Q202" i="3"/>
  <c r="P203" i="3"/>
  <c r="Q203" i="3"/>
  <c r="P204" i="3"/>
  <c r="Q204" i="3"/>
  <c r="P206" i="3"/>
  <c r="Q206" i="3"/>
  <c r="P207" i="3"/>
  <c r="Q207" i="3"/>
  <c r="P208" i="3"/>
  <c r="Q208" i="3"/>
  <c r="P209" i="3"/>
  <c r="Q209" i="3"/>
  <c r="P210" i="3"/>
  <c r="Q210" i="3"/>
  <c r="P211" i="3"/>
  <c r="Q211" i="3"/>
  <c r="P212" i="3"/>
  <c r="Q212" i="3"/>
  <c r="P213" i="3"/>
  <c r="Q213" i="3"/>
  <c r="P218" i="3"/>
  <c r="Q218" i="3"/>
  <c r="P214" i="3"/>
  <c r="Q214" i="3"/>
  <c r="P215" i="3"/>
  <c r="Q215" i="3"/>
  <c r="P216" i="3"/>
  <c r="Q216" i="3"/>
  <c r="P217" i="3"/>
  <c r="Q217" i="3"/>
  <c r="P219" i="3"/>
  <c r="Q219" i="3"/>
  <c r="P220" i="3"/>
  <c r="Q220" i="3"/>
  <c r="P222" i="3"/>
  <c r="Q222" i="3"/>
  <c r="P226" i="3"/>
  <c r="Q226" i="3"/>
  <c r="P227" i="3"/>
  <c r="Q227" i="3"/>
  <c r="P228" i="3"/>
  <c r="Q228" i="3"/>
  <c r="P229" i="3"/>
  <c r="Q229" i="3"/>
  <c r="P231" i="3"/>
  <c r="Q231" i="3"/>
  <c r="P232" i="3"/>
  <c r="Q232" i="3"/>
  <c r="P233" i="3"/>
  <c r="Q233" i="3"/>
  <c r="P235" i="3"/>
  <c r="Q235" i="3"/>
  <c r="P236" i="3"/>
  <c r="Q236" i="3"/>
  <c r="P239" i="3"/>
  <c r="Q239" i="3"/>
  <c r="P241" i="3"/>
  <c r="Q241" i="3"/>
  <c r="P242" i="3"/>
  <c r="Q242" i="3"/>
  <c r="P244" i="3"/>
  <c r="Q244" i="3"/>
  <c r="P245" i="3"/>
  <c r="Q245" i="3"/>
  <c r="P248" i="3"/>
  <c r="Q248" i="3"/>
  <c r="P249" i="3"/>
  <c r="Q249" i="3"/>
  <c r="P252" i="3"/>
  <c r="Q252" i="3"/>
  <c r="P255" i="3"/>
  <c r="Q255" i="3"/>
  <c r="P256" i="3"/>
  <c r="Q256" i="3"/>
  <c r="P258" i="3"/>
  <c r="Q258" i="3"/>
  <c r="P259" i="3"/>
  <c r="Q259" i="3"/>
  <c r="P262" i="3"/>
  <c r="Q262" i="3"/>
  <c r="P34" i="3"/>
  <c r="Q34" i="3"/>
  <c r="P131" i="3"/>
  <c r="Q131" i="3"/>
  <c r="P171" i="3"/>
  <c r="Q171" i="3"/>
  <c r="P250" i="3"/>
  <c r="Q250" i="3"/>
  <c r="P21" i="3"/>
  <c r="Q21" i="3"/>
  <c r="P74" i="3"/>
  <c r="Q74" i="3"/>
  <c r="P73" i="3"/>
  <c r="Q73" i="3"/>
  <c r="P52" i="3"/>
  <c r="Q52" i="3"/>
  <c r="P79" i="3"/>
  <c r="Q79" i="3"/>
  <c r="P71" i="3"/>
  <c r="Q71" i="3"/>
  <c r="Q130" i="3"/>
  <c r="P130" i="3"/>
  <c r="M247" i="3" l="1"/>
  <c r="N247" i="3"/>
  <c r="O247" i="3"/>
  <c r="M33" i="3"/>
  <c r="N33" i="3"/>
  <c r="O33" i="3"/>
  <c r="M56" i="3"/>
  <c r="N56" i="3"/>
  <c r="O56" i="3"/>
  <c r="M251" i="3"/>
  <c r="N251" i="3"/>
  <c r="O251" i="3"/>
  <c r="M54" i="3"/>
  <c r="N54" i="3"/>
  <c r="O54" i="3"/>
  <c r="M11" i="3"/>
  <c r="N11" i="3"/>
  <c r="O11" i="3"/>
  <c r="M132" i="3"/>
  <c r="N132" i="3"/>
  <c r="O132" i="3"/>
  <c r="M237" i="3"/>
  <c r="N237" i="3"/>
  <c r="O237" i="3"/>
  <c r="M238" i="3"/>
  <c r="N238" i="3"/>
  <c r="O238" i="3"/>
  <c r="M180" i="3"/>
  <c r="N180" i="3"/>
  <c r="O180" i="3"/>
  <c r="M225" i="3"/>
  <c r="N225" i="3"/>
  <c r="O225" i="3"/>
  <c r="M167" i="3"/>
  <c r="N167" i="3"/>
  <c r="O167" i="3"/>
  <c r="M128" i="3"/>
  <c r="N128" i="3"/>
  <c r="O128" i="3"/>
  <c r="M124" i="3"/>
  <c r="N124" i="3"/>
  <c r="O124" i="3"/>
  <c r="M141" i="3"/>
  <c r="N141" i="3"/>
  <c r="O141" i="3"/>
  <c r="M253" i="3"/>
  <c r="N253" i="3"/>
  <c r="O253" i="3"/>
  <c r="M121" i="3"/>
  <c r="N121" i="3"/>
  <c r="O121" i="3"/>
  <c r="M57" i="3"/>
  <c r="N57" i="3"/>
  <c r="O57" i="3"/>
  <c r="M142" i="3"/>
  <c r="N142" i="3"/>
  <c r="O142" i="3"/>
  <c r="M246" i="3"/>
  <c r="N246" i="3"/>
  <c r="O246" i="3"/>
  <c r="M166" i="3"/>
  <c r="N166" i="3"/>
  <c r="O166" i="3"/>
  <c r="M205" i="3"/>
  <c r="N205" i="3"/>
  <c r="O205" i="3"/>
  <c r="M3" i="3"/>
  <c r="N3" i="3"/>
  <c r="O3" i="3"/>
  <c r="M159" i="3"/>
  <c r="N159" i="3"/>
  <c r="O159" i="3"/>
  <c r="M182" i="3"/>
  <c r="N182" i="3"/>
  <c r="O182" i="3"/>
  <c r="M10" i="3"/>
  <c r="N10" i="3"/>
  <c r="O10" i="3"/>
  <c r="M53" i="3"/>
  <c r="N53" i="3"/>
  <c r="O53" i="3"/>
  <c r="M223" i="3"/>
  <c r="N223" i="3"/>
  <c r="O223" i="3"/>
  <c r="M254" i="3"/>
  <c r="N254" i="3"/>
  <c r="O254" i="3"/>
  <c r="M261" i="3"/>
  <c r="N261" i="3"/>
  <c r="O261" i="3"/>
  <c r="M175" i="3"/>
  <c r="N175" i="3"/>
  <c r="O175" i="3"/>
  <c r="M91" i="3"/>
  <c r="N91" i="3"/>
  <c r="O91" i="3"/>
  <c r="M157" i="3"/>
  <c r="N157" i="3"/>
  <c r="O157" i="3"/>
  <c r="M72" i="3"/>
  <c r="N72" i="3"/>
  <c r="O72" i="3"/>
  <c r="M230" i="3"/>
  <c r="N230" i="3"/>
  <c r="O230" i="3"/>
  <c r="M234" i="3"/>
  <c r="N234" i="3"/>
  <c r="O234" i="3"/>
  <c r="M46" i="3"/>
  <c r="N46" i="3"/>
  <c r="O46" i="3"/>
  <c r="M35" i="3"/>
  <c r="N35" i="3"/>
  <c r="O35" i="3"/>
  <c r="M49" i="3"/>
  <c r="N49" i="3"/>
  <c r="O49" i="3"/>
  <c r="M221" i="3"/>
  <c r="N221" i="3"/>
  <c r="O221" i="3"/>
  <c r="M117" i="3"/>
  <c r="N117" i="3"/>
  <c r="O117" i="3"/>
  <c r="M92" i="3"/>
  <c r="N92" i="3"/>
  <c r="O92" i="3"/>
  <c r="M12" i="3"/>
  <c r="N12" i="3"/>
  <c r="O12" i="3"/>
  <c r="M105" i="3"/>
  <c r="N105" i="3"/>
  <c r="O105" i="3"/>
  <c r="M94" i="3"/>
  <c r="N94" i="3"/>
  <c r="O94" i="3"/>
  <c r="M136" i="3"/>
  <c r="N136" i="3"/>
  <c r="O136" i="3"/>
  <c r="M32" i="3"/>
  <c r="N32" i="3"/>
  <c r="O32" i="3"/>
  <c r="M104" i="3"/>
  <c r="N104" i="3"/>
  <c r="O104" i="3"/>
  <c r="M257" i="3"/>
  <c r="N257" i="3"/>
  <c r="O257" i="3"/>
  <c r="M70" i="3"/>
  <c r="N70" i="3"/>
  <c r="O70" i="3"/>
  <c r="M192" i="3"/>
  <c r="N192" i="3"/>
  <c r="O192" i="3"/>
  <c r="M224" i="3"/>
  <c r="N224" i="3"/>
  <c r="O224" i="3"/>
  <c r="M39" i="3"/>
  <c r="N39" i="3"/>
  <c r="O39" i="3"/>
  <c r="M240" i="3"/>
  <c r="N240" i="3"/>
  <c r="O240" i="3"/>
  <c r="M13" i="3"/>
  <c r="N13" i="3"/>
  <c r="O13" i="3"/>
  <c r="M62" i="3"/>
  <c r="N62" i="3"/>
  <c r="O62" i="3"/>
  <c r="M18" i="3"/>
  <c r="N18" i="3"/>
  <c r="O18" i="3"/>
  <c r="M61" i="3"/>
  <c r="N61" i="3"/>
  <c r="O61" i="3"/>
  <c r="M243" i="3"/>
  <c r="N243" i="3"/>
  <c r="O243" i="3"/>
  <c r="M65" i="3"/>
  <c r="N65" i="3"/>
  <c r="O65" i="3"/>
  <c r="M139" i="3"/>
  <c r="N139" i="3"/>
  <c r="O139" i="3"/>
  <c r="M67" i="3"/>
  <c r="N67" i="3"/>
  <c r="O67" i="3"/>
  <c r="M126" i="3"/>
  <c r="N126" i="3"/>
  <c r="O126" i="3"/>
  <c r="M15" i="3"/>
  <c r="N15" i="3"/>
  <c r="O15" i="3"/>
  <c r="M16" i="3"/>
  <c r="N16" i="3"/>
  <c r="O16" i="3"/>
  <c r="M5" i="3"/>
  <c r="N5" i="3"/>
  <c r="O5" i="3"/>
  <c r="M64" i="3"/>
  <c r="N64" i="3"/>
  <c r="O64" i="3"/>
  <c r="M169" i="3"/>
  <c r="N169" i="3"/>
  <c r="O169" i="3"/>
  <c r="M260" i="3"/>
  <c r="N260" i="3"/>
  <c r="O260" i="3"/>
  <c r="M68" i="3"/>
  <c r="N68" i="3"/>
  <c r="O68" i="3"/>
  <c r="M99" i="3"/>
  <c r="N99" i="3"/>
  <c r="O99" i="3"/>
  <c r="M153" i="3"/>
  <c r="N153" i="3"/>
  <c r="O153" i="3"/>
  <c r="M193" i="3"/>
  <c r="N193" i="3"/>
  <c r="O193" i="3"/>
  <c r="M86" i="3"/>
  <c r="N86" i="3"/>
  <c r="O86" i="3"/>
  <c r="M140" i="3"/>
  <c r="N140" i="3"/>
  <c r="O140" i="3"/>
  <c r="M6" i="3"/>
  <c r="N6" i="3"/>
  <c r="O6" i="3"/>
  <c r="M48" i="3"/>
  <c r="N48" i="3"/>
  <c r="O48" i="3"/>
  <c r="M151" i="3"/>
  <c r="N151" i="3"/>
  <c r="O151" i="3"/>
  <c r="M2" i="3"/>
  <c r="N2" i="3"/>
  <c r="O2" i="3"/>
  <c r="M4" i="3"/>
  <c r="N4" i="3"/>
  <c r="O4" i="3"/>
  <c r="M7" i="3"/>
  <c r="N7" i="3"/>
  <c r="O7" i="3"/>
  <c r="M8" i="3"/>
  <c r="N8" i="3"/>
  <c r="O8" i="3"/>
  <c r="M9" i="3"/>
  <c r="N9" i="3"/>
  <c r="O9" i="3"/>
  <c r="M14" i="3"/>
  <c r="N14" i="3"/>
  <c r="O14" i="3"/>
  <c r="M17" i="3"/>
  <c r="N17" i="3"/>
  <c r="O17" i="3"/>
  <c r="M19" i="3"/>
  <c r="N19" i="3"/>
  <c r="O19" i="3"/>
  <c r="M20" i="3"/>
  <c r="N20" i="3"/>
  <c r="O20" i="3"/>
  <c r="M22" i="3"/>
  <c r="N22" i="3"/>
  <c r="O22" i="3"/>
  <c r="M23" i="3"/>
  <c r="N23" i="3"/>
  <c r="O23" i="3"/>
  <c r="M24" i="3"/>
  <c r="N24" i="3"/>
  <c r="O24" i="3"/>
  <c r="M25" i="3"/>
  <c r="N25" i="3"/>
  <c r="O25" i="3"/>
  <c r="M26" i="3"/>
  <c r="N26" i="3"/>
  <c r="O26" i="3"/>
  <c r="M27" i="3"/>
  <c r="N27" i="3"/>
  <c r="O27" i="3"/>
  <c r="M28" i="3"/>
  <c r="N28" i="3"/>
  <c r="O28" i="3"/>
  <c r="M29" i="3"/>
  <c r="N29" i="3"/>
  <c r="O29" i="3"/>
  <c r="M30" i="3"/>
  <c r="N30" i="3"/>
  <c r="O30" i="3"/>
  <c r="M31" i="3"/>
  <c r="N31" i="3"/>
  <c r="O31" i="3"/>
  <c r="M36" i="3"/>
  <c r="N36" i="3"/>
  <c r="O36" i="3"/>
  <c r="M37" i="3"/>
  <c r="N37" i="3"/>
  <c r="O37" i="3"/>
  <c r="M38" i="3"/>
  <c r="N38" i="3"/>
  <c r="O38" i="3"/>
  <c r="M40" i="3"/>
  <c r="N40" i="3"/>
  <c r="O40" i="3"/>
  <c r="M41" i="3"/>
  <c r="N41" i="3"/>
  <c r="O41" i="3"/>
  <c r="M42" i="3"/>
  <c r="N42" i="3"/>
  <c r="O42" i="3"/>
  <c r="M43" i="3"/>
  <c r="N43" i="3"/>
  <c r="O43" i="3"/>
  <c r="M44" i="3"/>
  <c r="N44" i="3"/>
  <c r="O44" i="3"/>
  <c r="M45" i="3"/>
  <c r="N45" i="3"/>
  <c r="O45" i="3"/>
  <c r="M47" i="3"/>
  <c r="N47" i="3"/>
  <c r="O47" i="3"/>
  <c r="M50" i="3"/>
  <c r="N50" i="3"/>
  <c r="O50" i="3"/>
  <c r="M51" i="3"/>
  <c r="N51" i="3"/>
  <c r="O51" i="3"/>
  <c r="M55" i="3"/>
  <c r="N55" i="3"/>
  <c r="O55" i="3"/>
  <c r="M58" i="3"/>
  <c r="N58" i="3"/>
  <c r="O58" i="3"/>
  <c r="M59" i="3"/>
  <c r="N59" i="3"/>
  <c r="O59" i="3"/>
  <c r="M60" i="3"/>
  <c r="N60" i="3"/>
  <c r="O60" i="3"/>
  <c r="M63" i="3"/>
  <c r="N63" i="3"/>
  <c r="O63" i="3"/>
  <c r="M66" i="3"/>
  <c r="N66" i="3"/>
  <c r="O66" i="3"/>
  <c r="M69" i="3"/>
  <c r="N69" i="3"/>
  <c r="O69" i="3"/>
  <c r="M75" i="3"/>
  <c r="N75" i="3"/>
  <c r="O75" i="3"/>
  <c r="M76" i="3"/>
  <c r="N76" i="3"/>
  <c r="O76" i="3"/>
  <c r="M77" i="3"/>
  <c r="N77" i="3"/>
  <c r="O77" i="3"/>
  <c r="M78" i="3"/>
  <c r="N78" i="3"/>
  <c r="O78" i="3"/>
  <c r="M80" i="3"/>
  <c r="N80" i="3"/>
  <c r="O80" i="3"/>
  <c r="M81" i="3"/>
  <c r="N81" i="3"/>
  <c r="O81" i="3"/>
  <c r="M82" i="3"/>
  <c r="N82" i="3"/>
  <c r="O82" i="3"/>
  <c r="M83" i="3"/>
  <c r="N83" i="3"/>
  <c r="O83" i="3"/>
  <c r="M84" i="3"/>
  <c r="N84" i="3"/>
  <c r="O84" i="3"/>
  <c r="M87" i="3"/>
  <c r="N87" i="3"/>
  <c r="O87" i="3"/>
  <c r="M88" i="3"/>
  <c r="N88" i="3"/>
  <c r="O88" i="3"/>
  <c r="M89" i="3"/>
  <c r="N89" i="3"/>
  <c r="O89" i="3"/>
  <c r="M90" i="3"/>
  <c r="N90" i="3"/>
  <c r="O90" i="3"/>
  <c r="M85" i="3"/>
  <c r="N85" i="3"/>
  <c r="O85" i="3"/>
  <c r="M93" i="3"/>
  <c r="N93" i="3"/>
  <c r="O93" i="3"/>
  <c r="M95" i="3"/>
  <c r="N95" i="3"/>
  <c r="O95" i="3"/>
  <c r="M96" i="3"/>
  <c r="N96" i="3"/>
  <c r="O96" i="3"/>
  <c r="M97" i="3"/>
  <c r="N97" i="3"/>
  <c r="O97" i="3"/>
  <c r="M98" i="3"/>
  <c r="N98" i="3"/>
  <c r="O98" i="3"/>
  <c r="M100" i="3"/>
  <c r="N100" i="3"/>
  <c r="O100" i="3"/>
  <c r="M101" i="3"/>
  <c r="N101" i="3"/>
  <c r="O101" i="3"/>
  <c r="M102" i="3"/>
  <c r="N102" i="3"/>
  <c r="O102" i="3"/>
  <c r="M103" i="3"/>
  <c r="N103" i="3"/>
  <c r="O103" i="3"/>
  <c r="M106" i="3"/>
  <c r="N106" i="3"/>
  <c r="O106" i="3"/>
  <c r="M107" i="3"/>
  <c r="N107" i="3"/>
  <c r="O107" i="3"/>
  <c r="M108" i="3"/>
  <c r="N108" i="3"/>
  <c r="O108" i="3"/>
  <c r="M109" i="3"/>
  <c r="N109" i="3"/>
  <c r="O109" i="3"/>
  <c r="M110" i="3"/>
  <c r="N110" i="3"/>
  <c r="O110" i="3"/>
  <c r="M111" i="3"/>
  <c r="N111" i="3"/>
  <c r="O111" i="3"/>
  <c r="M112" i="3"/>
  <c r="N112" i="3"/>
  <c r="O112" i="3"/>
  <c r="M113" i="3"/>
  <c r="N113" i="3"/>
  <c r="O113" i="3"/>
  <c r="M114" i="3"/>
  <c r="N114" i="3"/>
  <c r="O114" i="3"/>
  <c r="M115" i="3"/>
  <c r="N115" i="3"/>
  <c r="O115" i="3"/>
  <c r="M116" i="3"/>
  <c r="N116" i="3"/>
  <c r="O116" i="3"/>
  <c r="M118" i="3"/>
  <c r="N118" i="3"/>
  <c r="O118" i="3"/>
  <c r="M119" i="3"/>
  <c r="N119" i="3"/>
  <c r="O119" i="3"/>
  <c r="M120" i="3"/>
  <c r="N120" i="3"/>
  <c r="O120" i="3"/>
  <c r="M122" i="3"/>
  <c r="N122" i="3"/>
  <c r="O122" i="3"/>
  <c r="M123" i="3"/>
  <c r="N123" i="3"/>
  <c r="O123" i="3"/>
  <c r="M125" i="3"/>
  <c r="N125" i="3"/>
  <c r="O125" i="3"/>
  <c r="M127" i="3"/>
  <c r="N127" i="3"/>
  <c r="O127" i="3"/>
  <c r="M129" i="3"/>
  <c r="N129" i="3"/>
  <c r="O129" i="3"/>
  <c r="M133" i="3"/>
  <c r="N133" i="3"/>
  <c r="O133" i="3"/>
  <c r="M134" i="3"/>
  <c r="N134" i="3"/>
  <c r="O134" i="3"/>
  <c r="M135" i="3"/>
  <c r="N135" i="3"/>
  <c r="O135" i="3"/>
  <c r="M138" i="3"/>
  <c r="N138" i="3"/>
  <c r="O138" i="3"/>
  <c r="M137" i="3"/>
  <c r="N137" i="3"/>
  <c r="O137" i="3"/>
  <c r="M143" i="3"/>
  <c r="N143" i="3"/>
  <c r="O143" i="3"/>
  <c r="M144" i="3"/>
  <c r="N144" i="3"/>
  <c r="O144" i="3"/>
  <c r="M145" i="3"/>
  <c r="N145" i="3"/>
  <c r="O145" i="3"/>
  <c r="M146" i="3"/>
  <c r="N146" i="3"/>
  <c r="O146" i="3"/>
  <c r="M147" i="3"/>
  <c r="N147" i="3"/>
  <c r="O147" i="3"/>
  <c r="M148" i="3"/>
  <c r="N148" i="3"/>
  <c r="O148" i="3"/>
  <c r="M149" i="3"/>
  <c r="N149" i="3"/>
  <c r="O149" i="3"/>
  <c r="M150" i="3"/>
  <c r="N150" i="3"/>
  <c r="O150" i="3"/>
  <c r="M152" i="3"/>
  <c r="N152" i="3"/>
  <c r="O152" i="3"/>
  <c r="M154" i="3"/>
  <c r="N154" i="3"/>
  <c r="O154" i="3"/>
  <c r="M155" i="3"/>
  <c r="N155" i="3"/>
  <c r="O155" i="3"/>
  <c r="M156" i="3"/>
  <c r="N156" i="3"/>
  <c r="O156" i="3"/>
  <c r="M172" i="3"/>
  <c r="N172" i="3"/>
  <c r="O172" i="3"/>
  <c r="M158" i="3"/>
  <c r="N158" i="3"/>
  <c r="O158" i="3"/>
  <c r="M160" i="3"/>
  <c r="N160" i="3"/>
  <c r="O160" i="3"/>
  <c r="M161" i="3"/>
  <c r="N161" i="3"/>
  <c r="O161" i="3"/>
  <c r="M162" i="3"/>
  <c r="N162" i="3"/>
  <c r="O162" i="3"/>
  <c r="M163" i="3"/>
  <c r="N163" i="3"/>
  <c r="O163" i="3"/>
  <c r="M164" i="3"/>
  <c r="N164" i="3"/>
  <c r="O164" i="3"/>
  <c r="M165" i="3"/>
  <c r="N165" i="3"/>
  <c r="O165" i="3"/>
  <c r="M168" i="3"/>
  <c r="N168" i="3"/>
  <c r="O168" i="3"/>
  <c r="M170" i="3"/>
  <c r="N170" i="3"/>
  <c r="O170" i="3"/>
  <c r="M174" i="3"/>
  <c r="N174" i="3"/>
  <c r="O174" i="3"/>
  <c r="M176" i="3"/>
  <c r="N176" i="3"/>
  <c r="O176" i="3"/>
  <c r="M177" i="3"/>
  <c r="N177" i="3"/>
  <c r="O177" i="3"/>
  <c r="M178" i="3"/>
  <c r="N178" i="3"/>
  <c r="O178" i="3"/>
  <c r="M179" i="3"/>
  <c r="N179" i="3"/>
  <c r="O179" i="3"/>
  <c r="M181" i="3"/>
  <c r="N181" i="3"/>
  <c r="O181" i="3"/>
  <c r="M183" i="3"/>
  <c r="N183" i="3"/>
  <c r="O183" i="3"/>
  <c r="M184" i="3"/>
  <c r="N184" i="3"/>
  <c r="O184" i="3"/>
  <c r="M173" i="3"/>
  <c r="N173" i="3"/>
  <c r="O173" i="3"/>
  <c r="M185" i="3"/>
  <c r="N185" i="3"/>
  <c r="O185" i="3"/>
  <c r="M186" i="3"/>
  <c r="N186" i="3"/>
  <c r="O186" i="3"/>
  <c r="M187" i="3"/>
  <c r="N187" i="3"/>
  <c r="O187" i="3"/>
  <c r="M188" i="3"/>
  <c r="N188" i="3"/>
  <c r="O188" i="3"/>
  <c r="M189" i="3"/>
  <c r="N189" i="3"/>
  <c r="O189" i="3"/>
  <c r="M190" i="3"/>
  <c r="N190" i="3"/>
  <c r="O190" i="3"/>
  <c r="M194" i="3"/>
  <c r="N194" i="3"/>
  <c r="O194" i="3"/>
  <c r="M191" i="3"/>
  <c r="N191" i="3"/>
  <c r="O191" i="3"/>
  <c r="M195" i="3"/>
  <c r="N195" i="3"/>
  <c r="O195" i="3"/>
  <c r="M196" i="3"/>
  <c r="N196" i="3"/>
  <c r="O196" i="3"/>
  <c r="M197" i="3"/>
  <c r="N197" i="3"/>
  <c r="O197" i="3"/>
  <c r="M198" i="3"/>
  <c r="N198" i="3"/>
  <c r="O198" i="3"/>
  <c r="M199" i="3"/>
  <c r="N199" i="3"/>
  <c r="O199" i="3"/>
  <c r="M200" i="3"/>
  <c r="N200" i="3"/>
  <c r="O200" i="3"/>
  <c r="M201" i="3"/>
  <c r="N201" i="3"/>
  <c r="O201" i="3"/>
  <c r="M202" i="3"/>
  <c r="N202" i="3"/>
  <c r="O202" i="3"/>
  <c r="M203" i="3"/>
  <c r="N203" i="3"/>
  <c r="O203" i="3"/>
  <c r="M204" i="3"/>
  <c r="N204" i="3"/>
  <c r="O204" i="3"/>
  <c r="M206" i="3"/>
  <c r="N206" i="3"/>
  <c r="O206" i="3"/>
  <c r="M207" i="3"/>
  <c r="N207" i="3"/>
  <c r="O207" i="3"/>
  <c r="M208" i="3"/>
  <c r="N208" i="3"/>
  <c r="O208" i="3"/>
  <c r="M209" i="3"/>
  <c r="N209" i="3"/>
  <c r="O209" i="3"/>
  <c r="M210" i="3"/>
  <c r="N210" i="3"/>
  <c r="O210" i="3"/>
  <c r="M211" i="3"/>
  <c r="N211" i="3"/>
  <c r="O211" i="3"/>
  <c r="M212" i="3"/>
  <c r="N212" i="3"/>
  <c r="O212" i="3"/>
  <c r="M213" i="3"/>
  <c r="N213" i="3"/>
  <c r="O213" i="3"/>
  <c r="M218" i="3"/>
  <c r="N218" i="3"/>
  <c r="O218" i="3"/>
  <c r="M214" i="3"/>
  <c r="N214" i="3"/>
  <c r="O214" i="3"/>
  <c r="M215" i="3"/>
  <c r="N215" i="3"/>
  <c r="O215" i="3"/>
  <c r="M216" i="3"/>
  <c r="N216" i="3"/>
  <c r="O216" i="3"/>
  <c r="M217" i="3"/>
  <c r="N217" i="3"/>
  <c r="O217" i="3"/>
  <c r="M219" i="3"/>
  <c r="N219" i="3"/>
  <c r="O219" i="3"/>
  <c r="M220" i="3"/>
  <c r="N220" i="3"/>
  <c r="O220" i="3"/>
  <c r="M222" i="3"/>
  <c r="N222" i="3"/>
  <c r="O222" i="3"/>
  <c r="M226" i="3"/>
  <c r="N226" i="3"/>
  <c r="O226" i="3"/>
  <c r="M227" i="3"/>
  <c r="N227" i="3"/>
  <c r="O227" i="3"/>
  <c r="M228" i="3"/>
  <c r="N228" i="3"/>
  <c r="O228" i="3"/>
  <c r="M229" i="3"/>
  <c r="N229" i="3"/>
  <c r="O229" i="3"/>
  <c r="M231" i="3"/>
  <c r="N231" i="3"/>
  <c r="O231" i="3"/>
  <c r="M232" i="3"/>
  <c r="N232" i="3"/>
  <c r="O232" i="3"/>
  <c r="M233" i="3"/>
  <c r="N233" i="3"/>
  <c r="O233" i="3"/>
  <c r="M235" i="3"/>
  <c r="N235" i="3"/>
  <c r="O235" i="3"/>
  <c r="M236" i="3"/>
  <c r="N236" i="3"/>
  <c r="O236" i="3"/>
  <c r="M239" i="3"/>
  <c r="N239" i="3"/>
  <c r="O239" i="3"/>
  <c r="M241" i="3"/>
  <c r="N241" i="3"/>
  <c r="O241" i="3"/>
  <c r="M242" i="3"/>
  <c r="N242" i="3"/>
  <c r="O242" i="3"/>
  <c r="M244" i="3"/>
  <c r="N244" i="3"/>
  <c r="O244" i="3"/>
  <c r="M245" i="3"/>
  <c r="N245" i="3"/>
  <c r="O245" i="3"/>
  <c r="M248" i="3"/>
  <c r="N248" i="3"/>
  <c r="O248" i="3"/>
  <c r="M249" i="3"/>
  <c r="N249" i="3"/>
  <c r="O249" i="3"/>
  <c r="M252" i="3"/>
  <c r="N252" i="3"/>
  <c r="O252" i="3"/>
  <c r="M255" i="3"/>
  <c r="N255" i="3"/>
  <c r="O255" i="3"/>
  <c r="M256" i="3"/>
  <c r="N256" i="3"/>
  <c r="O256" i="3"/>
  <c r="M258" i="3"/>
  <c r="N258" i="3"/>
  <c r="O258" i="3"/>
  <c r="M259" i="3"/>
  <c r="N259" i="3"/>
  <c r="O259" i="3"/>
  <c r="M262" i="3"/>
  <c r="N262" i="3"/>
  <c r="O262" i="3"/>
  <c r="M34" i="3"/>
  <c r="N34" i="3"/>
  <c r="O34" i="3"/>
  <c r="M131" i="3"/>
  <c r="N131" i="3"/>
  <c r="O131" i="3"/>
  <c r="M171" i="3"/>
  <c r="N171" i="3"/>
  <c r="O171" i="3"/>
  <c r="M250" i="3"/>
  <c r="N250" i="3"/>
  <c r="O250" i="3"/>
  <c r="M21" i="3"/>
  <c r="N21" i="3"/>
  <c r="O21" i="3"/>
  <c r="M74" i="3"/>
  <c r="N74" i="3"/>
  <c r="O74" i="3"/>
  <c r="M73" i="3"/>
  <c r="N73" i="3"/>
  <c r="O73" i="3"/>
  <c r="M52" i="3"/>
  <c r="N52" i="3"/>
  <c r="O52" i="3"/>
  <c r="M79" i="3"/>
  <c r="N79" i="3"/>
  <c r="O79" i="3"/>
  <c r="M71" i="3"/>
  <c r="N71" i="3"/>
  <c r="O71" i="3"/>
  <c r="O130" i="3"/>
  <c r="N130" i="3"/>
  <c r="M130" i="3"/>
  <c r="L247" i="3"/>
  <c r="L33" i="3"/>
  <c r="L56" i="3"/>
  <c r="L251" i="3"/>
  <c r="L54" i="3"/>
  <c r="L11" i="3"/>
  <c r="L132" i="3"/>
  <c r="L237" i="3"/>
  <c r="L238" i="3"/>
  <c r="L180" i="3"/>
  <c r="L225" i="3"/>
  <c r="L167" i="3"/>
  <c r="L128" i="3"/>
  <c r="L124" i="3"/>
  <c r="L141" i="3"/>
  <c r="L253" i="3"/>
  <c r="L121" i="3"/>
  <c r="L57" i="3"/>
  <c r="L142" i="3"/>
  <c r="L246" i="3"/>
  <c r="L166" i="3"/>
  <c r="L205" i="3"/>
  <c r="L3" i="3"/>
  <c r="L159" i="3"/>
  <c r="L182" i="3"/>
  <c r="L10" i="3"/>
  <c r="L53" i="3"/>
  <c r="L223" i="3"/>
  <c r="L254" i="3"/>
  <c r="L261" i="3"/>
  <c r="L175" i="3"/>
  <c r="L91" i="3"/>
  <c r="L157" i="3"/>
  <c r="L72" i="3"/>
  <c r="L230" i="3"/>
  <c r="L234" i="3"/>
  <c r="L46" i="3"/>
  <c r="L35" i="3"/>
  <c r="L49" i="3"/>
  <c r="L221" i="3"/>
  <c r="L117" i="3"/>
  <c r="L92" i="3"/>
  <c r="L12" i="3"/>
  <c r="L105" i="3"/>
  <c r="L94" i="3"/>
  <c r="L136" i="3"/>
  <c r="L32" i="3"/>
  <c r="L104" i="3"/>
  <c r="L257" i="3"/>
  <c r="L70" i="3"/>
  <c r="L192" i="3"/>
  <c r="L224" i="3"/>
  <c r="L39" i="3"/>
  <c r="L240" i="3"/>
  <c r="L13" i="3"/>
  <c r="L62" i="3"/>
  <c r="L18" i="3"/>
  <c r="L61" i="3"/>
  <c r="L243" i="3"/>
  <c r="L65" i="3"/>
  <c r="L139" i="3"/>
  <c r="L67" i="3"/>
  <c r="L126" i="3"/>
  <c r="L15" i="3"/>
  <c r="L16" i="3"/>
  <c r="L5" i="3"/>
  <c r="L64" i="3"/>
  <c r="L169" i="3"/>
  <c r="L260" i="3"/>
  <c r="L68" i="3"/>
  <c r="L99" i="3"/>
  <c r="L153" i="3"/>
  <c r="L193" i="3"/>
  <c r="L86" i="3"/>
  <c r="L140" i="3"/>
  <c r="L6" i="3"/>
  <c r="L48" i="3"/>
  <c r="L151" i="3"/>
  <c r="L2" i="3"/>
  <c r="L4" i="3"/>
  <c r="L7" i="3"/>
  <c r="L8" i="3"/>
  <c r="L9" i="3"/>
  <c r="L14" i="3"/>
  <c r="L17" i="3"/>
  <c r="L19" i="3"/>
  <c r="L20" i="3"/>
  <c r="L22" i="3"/>
  <c r="L23" i="3"/>
  <c r="L24" i="3"/>
  <c r="L25" i="3"/>
  <c r="L26" i="3"/>
  <c r="L27" i="3"/>
  <c r="L28" i="3"/>
  <c r="L29" i="3"/>
  <c r="L30" i="3"/>
  <c r="L31" i="3"/>
  <c r="L36" i="3"/>
  <c r="L37" i="3"/>
  <c r="L38" i="3"/>
  <c r="L40" i="3"/>
  <c r="L41" i="3"/>
  <c r="L42" i="3"/>
  <c r="L43" i="3"/>
  <c r="L44" i="3"/>
  <c r="L45" i="3"/>
  <c r="L47" i="3"/>
  <c r="L50" i="3"/>
  <c r="L51" i="3"/>
  <c r="L55" i="3"/>
  <c r="L58" i="3"/>
  <c r="L59" i="3"/>
  <c r="L60" i="3"/>
  <c r="L63" i="3"/>
  <c r="L66" i="3"/>
  <c r="L69" i="3"/>
  <c r="L75" i="3"/>
  <c r="L76" i="3"/>
  <c r="L77" i="3"/>
  <c r="L78" i="3"/>
  <c r="L80" i="3"/>
  <c r="L81" i="3"/>
  <c r="L82" i="3"/>
  <c r="L83" i="3"/>
  <c r="L84" i="3"/>
  <c r="L87" i="3"/>
  <c r="L88" i="3"/>
  <c r="L89" i="3"/>
  <c r="L90" i="3"/>
  <c r="L85" i="3"/>
  <c r="L93" i="3"/>
  <c r="L95" i="3"/>
  <c r="L96" i="3"/>
  <c r="L97" i="3"/>
  <c r="L98" i="3"/>
  <c r="L100" i="3"/>
  <c r="L101" i="3"/>
  <c r="L102" i="3"/>
  <c r="L103" i="3"/>
  <c r="L106" i="3"/>
  <c r="L107" i="3"/>
  <c r="L108" i="3"/>
  <c r="L109" i="3"/>
  <c r="L110" i="3"/>
  <c r="L111" i="3"/>
  <c r="L112" i="3"/>
  <c r="L113" i="3"/>
  <c r="L114" i="3"/>
  <c r="L115" i="3"/>
  <c r="L116" i="3"/>
  <c r="L118" i="3"/>
  <c r="L119" i="3"/>
  <c r="L120" i="3"/>
  <c r="L122" i="3"/>
  <c r="L123" i="3"/>
  <c r="L125" i="3"/>
  <c r="L127" i="3"/>
  <c r="L129" i="3"/>
  <c r="L133" i="3"/>
  <c r="L134" i="3"/>
  <c r="L135" i="3"/>
  <c r="L138" i="3"/>
  <c r="L137" i="3"/>
  <c r="L143" i="3"/>
  <c r="L144" i="3"/>
  <c r="L145" i="3"/>
  <c r="L146" i="3"/>
  <c r="L147" i="3"/>
  <c r="L148" i="3"/>
  <c r="L149" i="3"/>
  <c r="L150" i="3"/>
  <c r="L152" i="3"/>
  <c r="L154" i="3"/>
  <c r="L155" i="3"/>
  <c r="L156" i="3"/>
  <c r="L172" i="3"/>
  <c r="L158" i="3"/>
  <c r="L160" i="3"/>
  <c r="L161" i="3"/>
  <c r="L162" i="3"/>
  <c r="L163" i="3"/>
  <c r="L164" i="3"/>
  <c r="L165" i="3"/>
  <c r="L168" i="3"/>
  <c r="L170" i="3"/>
  <c r="L174" i="3"/>
  <c r="L176" i="3"/>
  <c r="L177" i="3"/>
  <c r="L178" i="3"/>
  <c r="L179" i="3"/>
  <c r="L181" i="3"/>
  <c r="L183" i="3"/>
  <c r="L184" i="3"/>
  <c r="L173" i="3"/>
  <c r="L185" i="3"/>
  <c r="L186" i="3"/>
  <c r="L187" i="3"/>
  <c r="L188" i="3"/>
  <c r="L189" i="3"/>
  <c r="L190" i="3"/>
  <c r="L194" i="3"/>
  <c r="L191" i="3"/>
  <c r="L195" i="3"/>
  <c r="L196" i="3"/>
  <c r="L197" i="3"/>
  <c r="L198" i="3"/>
  <c r="L199" i="3"/>
  <c r="L200" i="3"/>
  <c r="L201" i="3"/>
  <c r="L202" i="3"/>
  <c r="L203" i="3"/>
  <c r="L204" i="3"/>
  <c r="L206" i="3"/>
  <c r="L207" i="3"/>
  <c r="L208" i="3"/>
  <c r="L209" i="3"/>
  <c r="L210" i="3"/>
  <c r="L211" i="3"/>
  <c r="L212" i="3"/>
  <c r="L213" i="3"/>
  <c r="L218" i="3"/>
  <c r="L214" i="3"/>
  <c r="L215" i="3"/>
  <c r="L216" i="3"/>
  <c r="L217" i="3"/>
  <c r="L219" i="3"/>
  <c r="L220" i="3"/>
  <c r="L222" i="3"/>
  <c r="L226" i="3"/>
  <c r="L227" i="3"/>
  <c r="L228" i="3"/>
  <c r="L229" i="3"/>
  <c r="L231" i="3"/>
  <c r="L232" i="3"/>
  <c r="L233" i="3"/>
  <c r="L235" i="3"/>
  <c r="L236" i="3"/>
  <c r="L239" i="3"/>
  <c r="L241" i="3"/>
  <c r="L242" i="3"/>
  <c r="L244" i="3"/>
  <c r="L245" i="3"/>
  <c r="L248" i="3"/>
  <c r="L249" i="3"/>
  <c r="L252" i="3"/>
  <c r="L255" i="3"/>
  <c r="L256" i="3"/>
  <c r="L258" i="3"/>
  <c r="L259" i="3"/>
  <c r="L262" i="3"/>
  <c r="L34" i="3"/>
  <c r="L131" i="3"/>
  <c r="L171" i="3"/>
  <c r="L250" i="3"/>
  <c r="L21" i="3"/>
  <c r="L74" i="3"/>
  <c r="L73" i="3"/>
  <c r="L52" i="3"/>
  <c r="L79" i="3"/>
  <c r="L71" i="3"/>
  <c r="L130" i="3"/>
  <c r="A13" i="7" l="1"/>
  <c r="A16" i="8"/>
  <c r="A14" i="6"/>
  <c r="A12" i="1"/>
  <c r="B91" i="4"/>
  <c r="B92" i="4"/>
  <c r="B93" i="4"/>
  <c r="B94" i="4"/>
  <c r="B95" i="4"/>
  <c r="B96" i="4"/>
  <c r="B97" i="4"/>
  <c r="B98" i="4"/>
  <c r="A90" i="4"/>
  <c r="A91" i="4"/>
  <c r="A92" i="4"/>
  <c r="A93" i="4"/>
  <c r="A94" i="4"/>
  <c r="A95" i="4"/>
  <c r="A96" i="4"/>
  <c r="A97" i="4"/>
  <c r="A98" i="4"/>
  <c r="A99" i="4"/>
  <c r="A89" i="4"/>
  <c r="C45" i="7"/>
  <c r="B89" i="4" s="1"/>
  <c r="B45" i="7"/>
  <c r="AR2" i="5" a="1"/>
  <c r="AR2" i="5" s="1"/>
  <c r="D76" i="8"/>
  <c r="AO2" i="5" s="1" a="1"/>
  <c r="AO2" i="5" s="1"/>
  <c r="B76" i="4"/>
  <c r="B77" i="4"/>
  <c r="A74" i="4"/>
  <c r="A75" i="4"/>
  <c r="A76" i="4"/>
  <c r="A77" i="4"/>
  <c r="A73" i="4"/>
  <c r="B58" i="4"/>
  <c r="B60" i="4"/>
  <c r="B61" i="4"/>
  <c r="B62" i="4"/>
  <c r="B63" i="4"/>
  <c r="B64" i="4"/>
  <c r="B55" i="4"/>
  <c r="B34" i="4"/>
  <c r="B36" i="4"/>
  <c r="B38" i="4"/>
  <c r="B39" i="4"/>
  <c r="B40" i="4"/>
  <c r="B12" i="4"/>
  <c r="B14" i="4"/>
  <c r="B16" i="4"/>
  <c r="B17" i="4"/>
  <c r="B18" i="4"/>
  <c r="A30" i="4"/>
  <c r="A56" i="4"/>
  <c r="A57" i="4"/>
  <c r="A58" i="4"/>
  <c r="A59" i="4"/>
  <c r="A60" i="4"/>
  <c r="A61" i="4"/>
  <c r="A62" i="4"/>
  <c r="A63" i="4"/>
  <c r="A64" i="4"/>
  <c r="A65" i="4"/>
  <c r="A55" i="4"/>
  <c r="C68" i="8"/>
  <c r="B68" i="8"/>
  <c r="B73" i="4" l="1"/>
  <c r="D68" i="8"/>
  <c r="B90" i="4"/>
  <c r="B99" i="4" s="1"/>
  <c r="A101" i="4" s="1"/>
  <c r="AS2" i="5" s="1" a="1"/>
  <c r="AS2" i="5" s="1"/>
  <c r="B75" i="4"/>
  <c r="B74" i="4"/>
  <c r="B78" i="4" l="1"/>
  <c r="A80" i="4"/>
  <c r="AN2" i="5" s="1" a="1"/>
  <c r="AN2" i="5" s="1"/>
  <c r="B47" i="8" l="1"/>
  <c r="C47" i="8"/>
  <c r="D47" i="8" l="1"/>
  <c r="B57" i="4"/>
  <c r="B56" i="4"/>
  <c r="B59" i="4"/>
  <c r="B65" i="4" l="1"/>
  <c r="A67" i="4" s="1"/>
  <c r="AM2" i="5" s="1" a="1"/>
  <c r="AM2" i="5" s="1"/>
  <c r="A31" i="4" l="1"/>
  <c r="A32" i="4"/>
  <c r="A33" i="4"/>
  <c r="A34" i="4"/>
  <c r="A35" i="4"/>
  <c r="A36" i="4"/>
  <c r="A37" i="4"/>
  <c r="A38" i="4"/>
  <c r="A39" i="4"/>
  <c r="A40" i="4"/>
  <c r="D30" i="4" l="1"/>
  <c r="D31" i="4" s="1"/>
  <c r="D32" i="4" s="1"/>
  <c r="D33" i="4" s="1"/>
  <c r="D34" i="4" s="1"/>
  <c r="D35" i="4" s="1"/>
  <c r="D36" i="4" s="1"/>
  <c r="D37" i="4" s="1"/>
  <c r="F36" i="4" l="1"/>
  <c r="H36" i="4" s="1"/>
  <c r="E36" i="4"/>
  <c r="D38" i="4"/>
  <c r="E37" i="4"/>
  <c r="F37" i="4"/>
  <c r="J36" i="4" l="1"/>
  <c r="G36" i="4"/>
  <c r="I36" i="4"/>
  <c r="D39" i="4"/>
  <c r="E38" i="4"/>
  <c r="J37" i="4"/>
  <c r="I37" i="4"/>
  <c r="H37" i="4"/>
  <c r="G37" i="4"/>
  <c r="F38" i="4"/>
  <c r="K36" i="4" l="1"/>
  <c r="D40" i="4"/>
  <c r="E40" i="4" s="1"/>
  <c r="E39" i="4"/>
  <c r="J38" i="4"/>
  <c r="H38" i="4"/>
  <c r="I38" i="4"/>
  <c r="G38" i="4"/>
  <c r="K37" i="4"/>
  <c r="F39" i="4"/>
  <c r="G39" i="4" l="1"/>
  <c r="J39" i="4"/>
  <c r="H39" i="4"/>
  <c r="I39" i="4"/>
  <c r="F40" i="4"/>
  <c r="K38" i="4"/>
  <c r="H40" i="4" l="1"/>
  <c r="G40" i="4"/>
  <c r="J40" i="4"/>
  <c r="I40" i="4"/>
  <c r="K39" i="4"/>
  <c r="K40" i="4" l="1"/>
  <c r="A2" i="5" l="1"/>
  <c r="A9" i="4"/>
  <c r="A10" i="4"/>
  <c r="A11" i="4"/>
  <c r="A12" i="4"/>
  <c r="A13" i="4"/>
  <c r="A14" i="4"/>
  <c r="A15" i="4"/>
  <c r="A16" i="4"/>
  <c r="A17" i="4"/>
  <c r="A18" i="4"/>
  <c r="A8" i="4"/>
  <c r="B11" i="2"/>
  <c r="B9" i="2"/>
  <c r="E2" i="5" s="1"/>
  <c r="B7" i="2"/>
  <c r="D2" i="5" s="1"/>
  <c r="B5" i="2"/>
  <c r="C2" i="5" s="1"/>
  <c r="B3" i="2"/>
  <c r="D65" i="6" l="1"/>
  <c r="AF2" i="5" s="1" a="1"/>
  <c r="AF2" i="5" s="1"/>
  <c r="AB2" i="5" a="1"/>
  <c r="AB2" i="5" s="1"/>
  <c r="D22" i="8"/>
  <c r="AK2" i="5" s="1" a="1"/>
  <c r="AK2" i="5" s="1"/>
  <c r="D21" i="8"/>
  <c r="H5" i="4"/>
  <c r="G2" i="5" s="1"/>
  <c r="E82" i="8"/>
  <c r="D82" i="8"/>
  <c r="B31" i="4"/>
  <c r="B32" i="4"/>
  <c r="E33" i="4" s="1"/>
  <c r="B33" i="4"/>
  <c r="B35" i="4"/>
  <c r="E34" i="4" s="1"/>
  <c r="B37" i="4"/>
  <c r="E31" i="4" s="1"/>
  <c r="B30" i="4"/>
  <c r="E30" i="4"/>
  <c r="E35" i="4"/>
  <c r="I5" i="4"/>
  <c r="H2" i="5" s="1"/>
  <c r="J5" i="4"/>
  <c r="I2" i="5" s="1"/>
  <c r="B2" i="5"/>
  <c r="G5" i="4"/>
  <c r="F2" i="5" s="1"/>
  <c r="D8" i="4"/>
  <c r="F82" i="8" l="1"/>
  <c r="AP2" i="5" s="1" a="1"/>
  <c r="AP2" i="5" s="1"/>
  <c r="AQ2" i="5" s="1"/>
  <c r="R2" i="5" a="1"/>
  <c r="R2" i="5" s="1"/>
  <c r="AG2" i="5" a="1"/>
  <c r="AG2" i="5" s="1"/>
  <c r="AH2" i="5" a="1"/>
  <c r="AH2" i="5" s="1"/>
  <c r="AI2" i="5" a="1"/>
  <c r="AI2" i="5" s="1"/>
  <c r="AJ2" i="5" a="1"/>
  <c r="AJ2" i="5" s="1"/>
  <c r="D23" i="8"/>
  <c r="AL2" i="5" s="1" a="1"/>
  <c r="AL2" i="5" s="1"/>
  <c r="E32" i="4"/>
  <c r="B41" i="4"/>
  <c r="D9" i="4"/>
  <c r="K5" i="4"/>
  <c r="J2" i="5" s="1"/>
  <c r="S2" i="5" l="1" a="1"/>
  <c r="S2" i="5" s="1"/>
  <c r="F32" i="4"/>
  <c r="F31" i="4"/>
  <c r="F33" i="4"/>
  <c r="F30" i="4"/>
  <c r="F34" i="4"/>
  <c r="F35" i="4"/>
  <c r="E41" i="4"/>
  <c r="D10" i="4"/>
  <c r="F41" i="4" l="1"/>
  <c r="G30" i="4"/>
  <c r="D11" i="4"/>
  <c r="H30" i="4" l="1"/>
  <c r="G31" i="4"/>
  <c r="D12" i="4"/>
  <c r="D13" i="4" s="1"/>
  <c r="I30" i="4" l="1"/>
  <c r="J30" i="4" s="1"/>
  <c r="G32" i="4"/>
  <c r="H31" i="4"/>
  <c r="D14" i="4"/>
  <c r="F14" i="4" s="1"/>
  <c r="I14" i="4" s="1"/>
  <c r="E13" i="4"/>
  <c r="F13" i="4" s="1"/>
  <c r="I31" i="4" l="1"/>
  <c r="J31" i="4" s="1"/>
  <c r="K30" i="4"/>
  <c r="G33" i="4"/>
  <c r="H32" i="4"/>
  <c r="D15" i="4"/>
  <c r="F15" i="4" s="1"/>
  <c r="G15" i="4" s="1"/>
  <c r="H14" i="4"/>
  <c r="J14" i="4"/>
  <c r="G14" i="4"/>
  <c r="E14" i="4"/>
  <c r="J15" i="4" l="1"/>
  <c r="I32" i="4"/>
  <c r="I15" i="4"/>
  <c r="G34" i="4"/>
  <c r="G35" i="4" s="1"/>
  <c r="H33" i="4"/>
  <c r="H15" i="4"/>
  <c r="E15" i="4"/>
  <c r="D16" i="4"/>
  <c r="F16" i="4" s="1"/>
  <c r="G16" i="4" s="1"/>
  <c r="J32" i="4" l="1"/>
  <c r="D17" i="4"/>
  <c r="F17" i="4" s="1"/>
  <c r="I17" i="4" s="1"/>
  <c r="I33" i="4"/>
  <c r="H34" i="4"/>
  <c r="H35" i="4" s="1"/>
  <c r="G41" i="4"/>
  <c r="E16" i="4"/>
  <c r="J16" i="4"/>
  <c r="H16" i="4"/>
  <c r="I16" i="4"/>
  <c r="K14" i="4"/>
  <c r="G44" i="4" l="1"/>
  <c r="T2" i="5" s="1" a="1"/>
  <c r="T2" i="5" s="1"/>
  <c r="J33" i="4"/>
  <c r="H41" i="4"/>
  <c r="I34" i="4"/>
  <c r="I35" i="4" s="1"/>
  <c r="D18" i="4"/>
  <c r="F18" i="4" s="1"/>
  <c r="E17" i="4"/>
  <c r="G17" i="4"/>
  <c r="J17" i="4"/>
  <c r="H17" i="4"/>
  <c r="K15" i="4"/>
  <c r="H44" i="4" l="1"/>
  <c r="U2" i="5" s="1" a="1"/>
  <c r="U2" i="5" s="1"/>
  <c r="E18" i="4"/>
  <c r="J34" i="4"/>
  <c r="J35" i="4" s="1"/>
  <c r="I41" i="4"/>
  <c r="I18" i="4"/>
  <c r="H18" i="4"/>
  <c r="J18" i="4"/>
  <c r="G18" i="4"/>
  <c r="K16" i="4"/>
  <c r="J41" i="4" l="1"/>
  <c r="J44" i="4" s="1"/>
  <c r="W2" i="5" s="1" a="1"/>
  <c r="W2" i="5" s="1"/>
  <c r="I44" i="4"/>
  <c r="V2" i="5" s="1" a="1"/>
  <c r="V2" i="5" s="1"/>
  <c r="K17" i="4"/>
  <c r="K18" i="4" l="1"/>
  <c r="C39" i="1" l="1"/>
  <c r="B39" i="1"/>
  <c r="D39" i="1" l="1"/>
  <c r="B8" i="4"/>
  <c r="B9" i="4"/>
  <c r="B10" i="4"/>
  <c r="B11" i="4"/>
  <c r="B13" i="4"/>
  <c r="B15" i="4"/>
  <c r="E12" i="4"/>
  <c r="F12" i="4" s="1"/>
  <c r="E11" i="4" l="1"/>
  <c r="F11" i="4" s="1"/>
  <c r="E10" i="4"/>
  <c r="F10" i="4" s="1"/>
  <c r="B19" i="4"/>
  <c r="E8" i="4"/>
  <c r="E9" i="4"/>
  <c r="F9" i="4" s="1"/>
  <c r="F8" i="4" l="1"/>
  <c r="F19" i="4" s="1"/>
  <c r="E19" i="4"/>
  <c r="G8" i="4" l="1"/>
  <c r="H8" i="4" l="1"/>
  <c r="G9" i="4"/>
  <c r="G10" i="4" s="1"/>
  <c r="I8" i="4" l="1"/>
  <c r="J8" i="4" s="1"/>
  <c r="H9" i="4"/>
  <c r="H10" i="4" s="1"/>
  <c r="G11" i="4"/>
  <c r="I9" i="4" l="1"/>
  <c r="K8" i="4"/>
  <c r="G12" i="4"/>
  <c r="H11" i="4"/>
  <c r="I10" i="4" l="1"/>
  <c r="I11" i="4" s="1"/>
  <c r="G13" i="4"/>
  <c r="J9" i="4"/>
  <c r="H12" i="4"/>
  <c r="G19" i="4" l="1"/>
  <c r="G22" i="4" s="1"/>
  <c r="K2" i="5" s="1" a="1"/>
  <c r="K2" i="5" s="1"/>
  <c r="J10" i="4"/>
  <c r="K10" i="4" s="1"/>
  <c r="H13" i="4"/>
  <c r="I12" i="4"/>
  <c r="K9" i="4"/>
  <c r="J11" i="4" l="1"/>
  <c r="K11" i="4" s="1"/>
  <c r="I13" i="4"/>
  <c r="H19" i="4"/>
  <c r="J12" i="4" l="1"/>
  <c r="K12" i="4" s="1"/>
  <c r="I19" i="4"/>
  <c r="I22" i="4" s="1"/>
  <c r="M2" i="5" s="1" a="1"/>
  <c r="M2" i="5" s="1"/>
  <c r="H22" i="4"/>
  <c r="L2" i="5" s="1" a="1"/>
  <c r="L2" i="5" s="1"/>
  <c r="J13" i="4"/>
  <c r="K13" i="4" l="1"/>
  <c r="J19" i="4"/>
  <c r="K32" i="4"/>
  <c r="J22" i="4" l="1"/>
  <c r="N2" i="5" s="1" a="1"/>
  <c r="N2" i="5" s="1"/>
  <c r="K19" i="4"/>
  <c r="K31" i="4"/>
  <c r="K22" i="4" l="1"/>
  <c r="O2" i="5" s="1" a="1"/>
  <c r="O2" i="5" s="1"/>
  <c r="K34" i="4"/>
  <c r="K33" i="4" l="1"/>
  <c r="K35" i="4" l="1"/>
  <c r="K41" i="4" s="1"/>
  <c r="K44" i="4" l="1"/>
  <c r="X2" i="5" s="1" a="1"/>
  <c r="X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<sst xmlns="http://schemas.openxmlformats.org/spreadsheetml/2006/main" count="1437" uniqueCount="773">
  <si>
    <t>Nom de la commune :</t>
  </si>
  <si>
    <t>Soignies</t>
  </si>
  <si>
    <t>Code INS :</t>
  </si>
  <si>
    <t>Région :</t>
  </si>
  <si>
    <t>Nombre d'habitants :</t>
  </si>
  <si>
    <t>Superficie (km2):</t>
  </si>
  <si>
    <t>Km de voiries :</t>
  </si>
  <si>
    <t>Balayage manuel</t>
  </si>
  <si>
    <t xml:space="preserve">Définition : </t>
  </si>
  <si>
    <t>Les opérations manuelles qui se font conjointement avec le balayage mécanique ne sont pas à prendre en considération dans ce cadre.</t>
  </si>
  <si>
    <t>Fréquence de nettoyage</t>
  </si>
  <si>
    <t>Précisez la fréquence de balayage manuel des voiries en indiquant le nombre de fois par an qu'elles sont balayées manuellement</t>
  </si>
  <si>
    <t>Pour chaque fréquence, indiquez la part des voiries concernées. Vous pouvez exprimer la part des voiries en % ou en km.</t>
  </si>
  <si>
    <t>Concernant la part des voiries vous préférez vous exprimer en :</t>
  </si>
  <si>
    <t>Fréquence annuelle</t>
  </si>
  <si>
    <t>% des voiries</t>
  </si>
  <si>
    <t>Km de voiries</t>
  </si>
  <si>
    <t>Validation</t>
  </si>
  <si>
    <t>Total</t>
  </si>
  <si>
    <t>Minutes</t>
  </si>
  <si>
    <t>Quel est le temps moyen (en minutes)mis par un agent pour terminer sa journée après son travail de balayage  ? (se rendre au point de démarrage, ranger son équipement)</t>
  </si>
  <si>
    <t>Quelle est la part des activités de balayage manuel qui est réalisée à l'aide d'un aspirateur de rue (Glutton…)</t>
  </si>
  <si>
    <t>Total des activités de balayage manuel</t>
  </si>
  <si>
    <t>Vitesse moyenne</t>
  </si>
  <si>
    <t>Q1</t>
  </si>
  <si>
    <t>Q2</t>
  </si>
  <si>
    <t>Q3</t>
  </si>
  <si>
    <t>Q4</t>
  </si>
  <si>
    <t>Km voiries</t>
  </si>
  <si>
    <t>Fréquence (ordre croissant)</t>
  </si>
  <si>
    <t>%  des voiries</t>
  </si>
  <si>
    <t>km voiries</t>
  </si>
  <si>
    <t>Fréquence</t>
  </si>
  <si>
    <t>LAU NAME LATIN</t>
  </si>
  <si>
    <t>LAU CODE</t>
  </si>
  <si>
    <t>Région</t>
  </si>
  <si>
    <t>Population</t>
  </si>
  <si>
    <t>Superficie en km²</t>
  </si>
  <si>
    <t>Voirie Q1</t>
  </si>
  <si>
    <t>Voirie Q2</t>
  </si>
  <si>
    <t>Voirie Q3</t>
  </si>
  <si>
    <t>Voirie Q4</t>
  </si>
  <si>
    <t>Voirie total</t>
  </si>
  <si>
    <t>Fréquence balayage manuel Q1</t>
  </si>
  <si>
    <t>Fréquence balayage manuel Q2</t>
  </si>
  <si>
    <t>Fréquence balayage manuel Q3</t>
  </si>
  <si>
    <t>Fréquence balayage manuel Q4</t>
  </si>
  <si>
    <t>Fréquence balayage manuel moyenne</t>
  </si>
  <si>
    <t>Vitesse balayage manuel</t>
  </si>
  <si>
    <t>Km voirie</t>
  </si>
  <si>
    <t>Aiseau-Presles</t>
  </si>
  <si>
    <t>52074</t>
  </si>
  <si>
    <t>Wallonie</t>
  </si>
  <si>
    <t>Amay</t>
  </si>
  <si>
    <t>61003</t>
  </si>
  <si>
    <t>63001</t>
  </si>
  <si>
    <t>Andenne</t>
  </si>
  <si>
    <t>92003</t>
  </si>
  <si>
    <t>Anderlues</t>
  </si>
  <si>
    <t>56001</t>
  </si>
  <si>
    <t>Anhée</t>
  </si>
  <si>
    <t>91005</t>
  </si>
  <si>
    <t>Ans</t>
  </si>
  <si>
    <t>62003</t>
  </si>
  <si>
    <t>Anthisnes</t>
  </si>
  <si>
    <t>61079</t>
  </si>
  <si>
    <t>Antoing</t>
  </si>
  <si>
    <t>57003</t>
  </si>
  <si>
    <t>Arlon</t>
  </si>
  <si>
    <t>81001</t>
  </si>
  <si>
    <t>Assesse</t>
  </si>
  <si>
    <t>92006</t>
  </si>
  <si>
    <t>Ath</t>
  </si>
  <si>
    <t>51004</t>
  </si>
  <si>
    <t>Attert</t>
  </si>
  <si>
    <t>81003</t>
  </si>
  <si>
    <t>Aubange</t>
  </si>
  <si>
    <t>81004</t>
  </si>
  <si>
    <t>Aubel</t>
  </si>
  <si>
    <t>63003</t>
  </si>
  <si>
    <t>Awans</t>
  </si>
  <si>
    <t>62006</t>
  </si>
  <si>
    <t>Aywaille</t>
  </si>
  <si>
    <t>62009</t>
  </si>
  <si>
    <t>Baelen</t>
  </si>
  <si>
    <t>63004</t>
  </si>
  <si>
    <t>Bassenge</t>
  </si>
  <si>
    <t>62011</t>
  </si>
  <si>
    <t>Bastogne</t>
  </si>
  <si>
    <t>Beaumont</t>
  </si>
  <si>
    <t>56005</t>
  </si>
  <si>
    <t>Beauraing</t>
  </si>
  <si>
    <t>91013</t>
  </si>
  <si>
    <t>Beauvechain</t>
  </si>
  <si>
    <t>25005</t>
  </si>
  <si>
    <t>Beloeil</t>
  </si>
  <si>
    <t>51008</t>
  </si>
  <si>
    <t>Berloz</t>
  </si>
  <si>
    <t>64008</t>
  </si>
  <si>
    <t>Bernissart</t>
  </si>
  <si>
    <t>51009</t>
  </si>
  <si>
    <t>Bertrix</t>
  </si>
  <si>
    <t>84009</t>
  </si>
  <si>
    <t>Beyne-Heusay</t>
  </si>
  <si>
    <t>62015</t>
  </si>
  <si>
    <t>BIEVRE</t>
  </si>
  <si>
    <t>91015</t>
  </si>
  <si>
    <t>Binche</t>
  </si>
  <si>
    <t>58002</t>
  </si>
  <si>
    <t>Blegny</t>
  </si>
  <si>
    <t>62119</t>
  </si>
  <si>
    <t>Bouillon</t>
  </si>
  <si>
    <t>84010</t>
  </si>
  <si>
    <t>Boussu</t>
  </si>
  <si>
    <t>53014</t>
  </si>
  <si>
    <t>Braine-l'Alleud</t>
  </si>
  <si>
    <t>25014</t>
  </si>
  <si>
    <t>Braine-le-Chateau</t>
  </si>
  <si>
    <t>25015</t>
  </si>
  <si>
    <t>Braine-le-Comte</t>
  </si>
  <si>
    <t>55004</t>
  </si>
  <si>
    <t>Braives</t>
  </si>
  <si>
    <t>64015</t>
  </si>
  <si>
    <t>Brugelette</t>
  </si>
  <si>
    <t>51012</t>
  </si>
  <si>
    <t>Brunehaut</t>
  </si>
  <si>
    <t>57093</t>
  </si>
  <si>
    <t>63012</t>
  </si>
  <si>
    <t>Burdinne</t>
  </si>
  <si>
    <t>61010</t>
  </si>
  <si>
    <t>Burg-Reuland</t>
  </si>
  <si>
    <t>63087</t>
  </si>
  <si>
    <t>63013</t>
  </si>
  <si>
    <t>Celles</t>
  </si>
  <si>
    <t>57018</t>
  </si>
  <si>
    <t>Cerfontaine</t>
  </si>
  <si>
    <t>93010</t>
  </si>
  <si>
    <t>Chapelle-lez-Herlaimont</t>
  </si>
  <si>
    <t>52010</t>
  </si>
  <si>
    <t>Charleroi</t>
  </si>
  <si>
    <t>52011</t>
  </si>
  <si>
    <t>Chastre</t>
  </si>
  <si>
    <t>25117</t>
  </si>
  <si>
    <t>Chatelet</t>
  </si>
  <si>
    <t>52012</t>
  </si>
  <si>
    <t>Chaudfontaine</t>
  </si>
  <si>
    <t>62022</t>
  </si>
  <si>
    <t>Chaumont-Gistoux</t>
  </si>
  <si>
    <t>25018</t>
  </si>
  <si>
    <t>Chievres</t>
  </si>
  <si>
    <t>51014</t>
  </si>
  <si>
    <t>Chimay</t>
  </si>
  <si>
    <t>56016</t>
  </si>
  <si>
    <t>Chiny</t>
  </si>
  <si>
    <t>85007</t>
  </si>
  <si>
    <t>Ciney</t>
  </si>
  <si>
    <t>91030</t>
  </si>
  <si>
    <t>Clavier</t>
  </si>
  <si>
    <t>61012</t>
  </si>
  <si>
    <t>Colfontaine</t>
  </si>
  <si>
    <t>53082</t>
  </si>
  <si>
    <t>Comblain-au-Pont</t>
  </si>
  <si>
    <t>62026</t>
  </si>
  <si>
    <t>Comines-Warneton</t>
  </si>
  <si>
    <t>57097</t>
  </si>
  <si>
    <t>Courcelles</t>
  </si>
  <si>
    <t>52015</t>
  </si>
  <si>
    <t>Court-Saint-Etienne</t>
  </si>
  <si>
    <t>25023</t>
  </si>
  <si>
    <t>Couvin</t>
  </si>
  <si>
    <t>93014</t>
  </si>
  <si>
    <t>Crisnee</t>
  </si>
  <si>
    <t>64021</t>
  </si>
  <si>
    <t>Dalhem</t>
  </si>
  <si>
    <t>62027</t>
  </si>
  <si>
    <t>Daverdisse</t>
  </si>
  <si>
    <t>84016</t>
  </si>
  <si>
    <t>Dinant</t>
  </si>
  <si>
    <t>91034</t>
  </si>
  <si>
    <t>Dison</t>
  </si>
  <si>
    <t>63020</t>
  </si>
  <si>
    <t>Doische</t>
  </si>
  <si>
    <t>93018</t>
  </si>
  <si>
    <t>Donceel</t>
  </si>
  <si>
    <t>64023</t>
  </si>
  <si>
    <t>Dour</t>
  </si>
  <si>
    <t>53020</t>
  </si>
  <si>
    <t>Durbuy</t>
  </si>
  <si>
    <t>83012</t>
  </si>
  <si>
    <t>Ecaussinnes</t>
  </si>
  <si>
    <t>55050</t>
  </si>
  <si>
    <t>Eghezee</t>
  </si>
  <si>
    <t>92035</t>
  </si>
  <si>
    <t>Ellezelles</t>
  </si>
  <si>
    <t>51017</t>
  </si>
  <si>
    <t>Enghien</t>
  </si>
  <si>
    <t>51067</t>
  </si>
  <si>
    <t>Engis</t>
  </si>
  <si>
    <t>61080</t>
  </si>
  <si>
    <t>Erezee</t>
  </si>
  <si>
    <t>83013</t>
  </si>
  <si>
    <t>Erquelinnes</t>
  </si>
  <si>
    <t>56022</t>
  </si>
  <si>
    <t>Esneux</t>
  </si>
  <si>
    <t>62032</t>
  </si>
  <si>
    <t>Estaimpuis</t>
  </si>
  <si>
    <t>57027</t>
  </si>
  <si>
    <t>Estinnes</t>
  </si>
  <si>
    <t>58003</t>
  </si>
  <si>
    <t>Etalle</t>
  </si>
  <si>
    <t>85009</t>
  </si>
  <si>
    <t>Eupen</t>
  </si>
  <si>
    <t>63023</t>
  </si>
  <si>
    <t>Faimes</t>
  </si>
  <si>
    <t>64076</t>
  </si>
  <si>
    <t>Farciennes</t>
  </si>
  <si>
    <t>52018</t>
  </si>
  <si>
    <t>Fauvillers</t>
  </si>
  <si>
    <t>82009</t>
  </si>
  <si>
    <t>Fernelmont</t>
  </si>
  <si>
    <t>92138</t>
  </si>
  <si>
    <t>61019</t>
  </si>
  <si>
    <t>Fexhe-le-Haut-Clocher</t>
  </si>
  <si>
    <t>64025</t>
  </si>
  <si>
    <t>Flemalle</t>
  </si>
  <si>
    <t>62120</t>
  </si>
  <si>
    <t>Fleron</t>
  </si>
  <si>
    <t>62038</t>
  </si>
  <si>
    <t>Fleurus</t>
  </si>
  <si>
    <t>52021</t>
  </si>
  <si>
    <t>Flobecq</t>
  </si>
  <si>
    <t>51019</t>
  </si>
  <si>
    <t>Floreffe</t>
  </si>
  <si>
    <t>92045</t>
  </si>
  <si>
    <t>Florennes</t>
  </si>
  <si>
    <t>93022</t>
  </si>
  <si>
    <t>Florenville</t>
  </si>
  <si>
    <t>85011</t>
  </si>
  <si>
    <t>Fontaine-l'Eveque</t>
  </si>
  <si>
    <t>52022</t>
  </si>
  <si>
    <t>Fosses-la-Ville</t>
  </si>
  <si>
    <t>92048</t>
  </si>
  <si>
    <t>Frameries</t>
  </si>
  <si>
    <t>53028</t>
  </si>
  <si>
    <t>Frasnes-lez-Anvaing</t>
  </si>
  <si>
    <t>51065</t>
  </si>
  <si>
    <t>Froidchapelle</t>
  </si>
  <si>
    <t>56029</t>
  </si>
  <si>
    <t>Gedinne</t>
  </si>
  <si>
    <t>91054</t>
  </si>
  <si>
    <t>Geer</t>
  </si>
  <si>
    <t>64029</t>
  </si>
  <si>
    <t>Gembloux</t>
  </si>
  <si>
    <t>92142</t>
  </si>
  <si>
    <t>Genappe</t>
  </si>
  <si>
    <t>25031</t>
  </si>
  <si>
    <t>Gerpinnes</t>
  </si>
  <si>
    <t>52025</t>
  </si>
  <si>
    <t>Gesves</t>
  </si>
  <si>
    <t>92054</t>
  </si>
  <si>
    <t>Gouvy</t>
  </si>
  <si>
    <t>82037</t>
  </si>
  <si>
    <t>62118</t>
  </si>
  <si>
    <t>Grez-Doiceau</t>
  </si>
  <si>
    <t>25037</t>
  </si>
  <si>
    <t>Habay</t>
  </si>
  <si>
    <t>85046</t>
  </si>
  <si>
    <t>Hamoir</t>
  </si>
  <si>
    <t>61024</t>
  </si>
  <si>
    <t>Hamois</t>
  </si>
  <si>
    <t>91059</t>
  </si>
  <si>
    <t>Ham-sur-Heure-Nalinnes</t>
  </si>
  <si>
    <t>56086</t>
  </si>
  <si>
    <t>Hannut</t>
  </si>
  <si>
    <t>64034</t>
  </si>
  <si>
    <t>91142</t>
  </si>
  <si>
    <t>Havelange</t>
  </si>
  <si>
    <t>91064</t>
  </si>
  <si>
    <t>Helecine</t>
  </si>
  <si>
    <t>25118</t>
  </si>
  <si>
    <t>Hensies</t>
  </si>
  <si>
    <t>53039</t>
  </si>
  <si>
    <t>Herbeumont</t>
  </si>
  <si>
    <t>84029</t>
  </si>
  <si>
    <t>61028</t>
  </si>
  <si>
    <t>Herstal</t>
  </si>
  <si>
    <t>62051</t>
  </si>
  <si>
    <t>Herve</t>
  </si>
  <si>
    <t>63035</t>
  </si>
  <si>
    <t>Honnelles</t>
  </si>
  <si>
    <t>53083</t>
  </si>
  <si>
    <t>Hotton</t>
  </si>
  <si>
    <t>83028</t>
  </si>
  <si>
    <t>Houffalize</t>
  </si>
  <si>
    <t>82014</t>
  </si>
  <si>
    <t>Houyet</t>
  </si>
  <si>
    <t>91072</t>
  </si>
  <si>
    <t>Huy</t>
  </si>
  <si>
    <t>61031</t>
  </si>
  <si>
    <t>Incourt</t>
  </si>
  <si>
    <t>25043</t>
  </si>
  <si>
    <t>Ittre</t>
  </si>
  <si>
    <t>25044</t>
  </si>
  <si>
    <t>Jalhay</t>
  </si>
  <si>
    <t>63038</t>
  </si>
  <si>
    <t>Jemeppe-sur-Sambre</t>
  </si>
  <si>
    <t>92140</t>
  </si>
  <si>
    <t>Jodoigne</t>
  </si>
  <si>
    <t>25048</t>
  </si>
  <si>
    <t>Juprelle</t>
  </si>
  <si>
    <t>62060</t>
  </si>
  <si>
    <t>Jurbise</t>
  </si>
  <si>
    <t>53044</t>
  </si>
  <si>
    <t>La Bruyere</t>
  </si>
  <si>
    <t>92141</t>
  </si>
  <si>
    <t>63040</t>
  </si>
  <si>
    <t>La Hulpe</t>
  </si>
  <si>
    <t>25050</t>
  </si>
  <si>
    <t>58001</t>
  </si>
  <si>
    <t>La Roche-en-Ardenne</t>
  </si>
  <si>
    <t>83031</t>
  </si>
  <si>
    <t>Lasne</t>
  </si>
  <si>
    <t>25119</t>
  </si>
  <si>
    <t>Le Roeulx</t>
  </si>
  <si>
    <t>55035</t>
  </si>
  <si>
    <t>Leglise</t>
  </si>
  <si>
    <t>84033</t>
  </si>
  <si>
    <t>Lens</t>
  </si>
  <si>
    <t>53046</t>
  </si>
  <si>
    <t>Les Bons Villers</t>
  </si>
  <si>
    <t>52075</t>
  </si>
  <si>
    <t>Lessines</t>
  </si>
  <si>
    <t>51069</t>
  </si>
  <si>
    <t>Leuze-en-Hainaut</t>
  </si>
  <si>
    <t>57094</t>
  </si>
  <si>
    <t>Libin</t>
  </si>
  <si>
    <t>84035</t>
  </si>
  <si>
    <t>Libramont-Chevigny</t>
  </si>
  <si>
    <t>84077</t>
  </si>
  <si>
    <t>Liege</t>
  </si>
  <si>
    <t>62063</t>
  </si>
  <si>
    <t>Lierneux</t>
  </si>
  <si>
    <t>63045</t>
  </si>
  <si>
    <t>Limbourg</t>
  </si>
  <si>
    <t>63046</t>
  </si>
  <si>
    <t>Lincent</t>
  </si>
  <si>
    <t>64047</t>
  </si>
  <si>
    <t>Lobbes</t>
  </si>
  <si>
    <t>56044</t>
  </si>
  <si>
    <t>Lontzen</t>
  </si>
  <si>
    <t>63048</t>
  </si>
  <si>
    <t>Malmedy</t>
  </si>
  <si>
    <t>63049</t>
  </si>
  <si>
    <t>Manage</t>
  </si>
  <si>
    <t>55086</t>
  </si>
  <si>
    <t>Manhay</t>
  </si>
  <si>
    <t>83055</t>
  </si>
  <si>
    <t>Marche-en-Famenne</t>
  </si>
  <si>
    <t>83034</t>
  </si>
  <si>
    <t>Marchin</t>
  </si>
  <si>
    <t>61039</t>
  </si>
  <si>
    <t>Martelange</t>
  </si>
  <si>
    <t>81013</t>
  </si>
  <si>
    <t>Meix-devant-Virton</t>
  </si>
  <si>
    <t>85024</t>
  </si>
  <si>
    <t>Merbes-le-Château</t>
  </si>
  <si>
    <t>56049</t>
  </si>
  <si>
    <t>Messancy</t>
  </si>
  <si>
    <t>81015</t>
  </si>
  <si>
    <t>Mettet</t>
  </si>
  <si>
    <t>92087</t>
  </si>
  <si>
    <t>Modave</t>
  </si>
  <si>
    <t>61041</t>
  </si>
  <si>
    <t>Momignies</t>
  </si>
  <si>
    <t>56051</t>
  </si>
  <si>
    <t>Mons</t>
  </si>
  <si>
    <t>53053</t>
  </si>
  <si>
    <t>Mont-de-l'Enclus</t>
  </si>
  <si>
    <t>57095</t>
  </si>
  <si>
    <t>Montigny-le-Tilleul</t>
  </si>
  <si>
    <t>52048</t>
  </si>
  <si>
    <t>Mont-Saint-Guibert</t>
  </si>
  <si>
    <t>25068</t>
  </si>
  <si>
    <t>Morlanwelz</t>
  </si>
  <si>
    <t>58004</t>
  </si>
  <si>
    <t>Mouscron</t>
  </si>
  <si>
    <t>57096</t>
  </si>
  <si>
    <t>Musson</t>
  </si>
  <si>
    <t>85026</t>
  </si>
  <si>
    <t>Namur</t>
  </si>
  <si>
    <t>92094</t>
  </si>
  <si>
    <t>Nandrin</t>
  </si>
  <si>
    <t>61043</t>
  </si>
  <si>
    <t>Nassogne</t>
  </si>
  <si>
    <t>83040</t>
  </si>
  <si>
    <t>84043</t>
  </si>
  <si>
    <t>Neupre</t>
  </si>
  <si>
    <t>62121</t>
  </si>
  <si>
    <t>Nivelles</t>
  </si>
  <si>
    <t>25072</t>
  </si>
  <si>
    <t>Ohey</t>
  </si>
  <si>
    <t>92097</t>
  </si>
  <si>
    <t>Olne</t>
  </si>
  <si>
    <t>63057</t>
  </si>
  <si>
    <t>Onhaye</t>
  </si>
  <si>
    <t>91103</t>
  </si>
  <si>
    <t>Oreye</t>
  </si>
  <si>
    <t>64056</t>
  </si>
  <si>
    <t>Orp-Jauche</t>
  </si>
  <si>
    <t>25120</t>
  </si>
  <si>
    <t>Ottignies-Louvain-la-Neuve</t>
  </si>
  <si>
    <t>25121</t>
  </si>
  <si>
    <t>Ouffet</t>
  </si>
  <si>
    <t>61048</t>
  </si>
  <si>
    <t>Oupeye</t>
  </si>
  <si>
    <t>62079</t>
  </si>
  <si>
    <t>Paliseul</t>
  </si>
  <si>
    <t>84050</t>
  </si>
  <si>
    <t>Pecq</t>
  </si>
  <si>
    <t>57062</t>
  </si>
  <si>
    <t>Pepinster</t>
  </si>
  <si>
    <t>63058</t>
  </si>
  <si>
    <t>57064</t>
  </si>
  <si>
    <t>Perwez</t>
  </si>
  <si>
    <t>25084</t>
  </si>
  <si>
    <t>Philippeville</t>
  </si>
  <si>
    <t>93056</t>
  </si>
  <si>
    <t>63088</t>
  </si>
  <si>
    <t>Pont-a-Celles</t>
  </si>
  <si>
    <t>52055</t>
  </si>
  <si>
    <t>Profondeville</t>
  </si>
  <si>
    <t>92101</t>
  </si>
  <si>
    <t>Quaregnon</t>
  </si>
  <si>
    <t>53065</t>
  </si>
  <si>
    <t>53084</t>
  </si>
  <si>
    <t>Quievrain</t>
  </si>
  <si>
    <t>53068</t>
  </si>
  <si>
    <t>Raeren</t>
  </si>
  <si>
    <t>63061</t>
  </si>
  <si>
    <t>Ramillies</t>
  </si>
  <si>
    <t>25122</t>
  </si>
  <si>
    <t>Rebecq</t>
  </si>
  <si>
    <t>25123</t>
  </si>
  <si>
    <t>Remicourt</t>
  </si>
  <si>
    <t>64063</t>
  </si>
  <si>
    <t>Rendeux</t>
  </si>
  <si>
    <t>83044</t>
  </si>
  <si>
    <t>Rixensart</t>
  </si>
  <si>
    <t>25091</t>
  </si>
  <si>
    <t>Rochefort</t>
  </si>
  <si>
    <t>91114</t>
  </si>
  <si>
    <t>Rouvroy</t>
  </si>
  <si>
    <t>85047</t>
  </si>
  <si>
    <t>Rumes</t>
  </si>
  <si>
    <t>57072</t>
  </si>
  <si>
    <t>Sainte-Ode</t>
  </si>
  <si>
    <t>82038</t>
  </si>
  <si>
    <t>Saint-Georges-sur-Meuse</t>
  </si>
  <si>
    <t>64065</t>
  </si>
  <si>
    <t>Saint-Ghislain</t>
  </si>
  <si>
    <t>53070</t>
  </si>
  <si>
    <t>Saint-Hubert</t>
  </si>
  <si>
    <t>84059</t>
  </si>
  <si>
    <t>Saint-Leger</t>
  </si>
  <si>
    <t>85034</t>
  </si>
  <si>
    <t>Saint-Nicolas</t>
  </si>
  <si>
    <t>62093</t>
  </si>
  <si>
    <t>Sambreville</t>
  </si>
  <si>
    <t>92137</t>
  </si>
  <si>
    <t>Sankt Vith</t>
  </si>
  <si>
    <t>63067</t>
  </si>
  <si>
    <t>Seneffe</t>
  </si>
  <si>
    <t>55085</t>
  </si>
  <si>
    <t>Seraing</t>
  </si>
  <si>
    <t>62096</t>
  </si>
  <si>
    <t>Silly</t>
  </si>
  <si>
    <t>51068</t>
  </si>
  <si>
    <t>Sivry-Rance</t>
  </si>
  <si>
    <t>56088</t>
  </si>
  <si>
    <t>55040</t>
  </si>
  <si>
    <t>Sombreffe</t>
  </si>
  <si>
    <t>92114</t>
  </si>
  <si>
    <t>Somme-Leuze</t>
  </si>
  <si>
    <t>91120</t>
  </si>
  <si>
    <t>Soumagne</t>
  </si>
  <si>
    <t>62099</t>
  </si>
  <si>
    <t>Spa</t>
  </si>
  <si>
    <t>63072</t>
  </si>
  <si>
    <t>Sprimont</t>
  </si>
  <si>
    <t>62100</t>
  </si>
  <si>
    <t>Stavelot</t>
  </si>
  <si>
    <t>63073</t>
  </si>
  <si>
    <t>Stoumont</t>
  </si>
  <si>
    <t>63075</t>
  </si>
  <si>
    <t>Tellin</t>
  </si>
  <si>
    <t>84068</t>
  </si>
  <si>
    <t>Tenneville</t>
  </si>
  <si>
    <t>83049</t>
  </si>
  <si>
    <t>Theux</t>
  </si>
  <si>
    <t>63076</t>
  </si>
  <si>
    <t>Thimister-Clermont</t>
  </si>
  <si>
    <t>63089</t>
  </si>
  <si>
    <t>Thuin</t>
  </si>
  <si>
    <t>56078</t>
  </si>
  <si>
    <t>Tinlot</t>
  </si>
  <si>
    <t>61081</t>
  </si>
  <si>
    <t>Tintigny</t>
  </si>
  <si>
    <t>85039</t>
  </si>
  <si>
    <t>Tournai</t>
  </si>
  <si>
    <t>57081</t>
  </si>
  <si>
    <t>Trois-Ponts</t>
  </si>
  <si>
    <t>63086</t>
  </si>
  <si>
    <t>Trooz</t>
  </si>
  <si>
    <t>62122</t>
  </si>
  <si>
    <t>Tubize</t>
  </si>
  <si>
    <t>25105</t>
  </si>
  <si>
    <t>Vaux-sur-Sûre</t>
  </si>
  <si>
    <t>82036</t>
  </si>
  <si>
    <t>Verlaine</t>
  </si>
  <si>
    <t>61063</t>
  </si>
  <si>
    <t>Verviers</t>
  </si>
  <si>
    <t>63079</t>
  </si>
  <si>
    <t>Vielsalm</t>
  </si>
  <si>
    <t>82032</t>
  </si>
  <si>
    <t>Villers-la-Ville</t>
  </si>
  <si>
    <t>25107</t>
  </si>
  <si>
    <t>Villers-Le-Bouillet</t>
  </si>
  <si>
    <t>61068</t>
  </si>
  <si>
    <t>Viroinval</t>
  </si>
  <si>
    <t>93090</t>
  </si>
  <si>
    <t>Virton</t>
  </si>
  <si>
    <t>85045</t>
  </si>
  <si>
    <t>62108</t>
  </si>
  <si>
    <t>Vresse-sur-Semois</t>
  </si>
  <si>
    <t>91143</t>
  </si>
  <si>
    <t>Waimes</t>
  </si>
  <si>
    <t>63080</t>
  </si>
  <si>
    <t>Walcourt</t>
  </si>
  <si>
    <t>93088</t>
  </si>
  <si>
    <t>Walhain</t>
  </si>
  <si>
    <t>25124</t>
  </si>
  <si>
    <t>Wanze</t>
  </si>
  <si>
    <t>61072</t>
  </si>
  <si>
    <t>Waremme</t>
  </si>
  <si>
    <t>64074</t>
  </si>
  <si>
    <t>Wasseiges</t>
  </si>
  <si>
    <t>64075</t>
  </si>
  <si>
    <t>Waterloo</t>
  </si>
  <si>
    <t>25110</t>
  </si>
  <si>
    <t>Wavre</t>
  </si>
  <si>
    <t>25112</t>
  </si>
  <si>
    <t>Welkenraedt</t>
  </si>
  <si>
    <t>63084</t>
  </si>
  <si>
    <t>Wellin</t>
  </si>
  <si>
    <t>84075</t>
  </si>
  <si>
    <t>Yvoir</t>
  </si>
  <si>
    <t>91141</t>
  </si>
  <si>
    <t>La fréquence n'est peut-être pas identique dans toutes les voiries, c'est pourquoi vous pouvez définir, dans le tableau ci-dessous, jusqu'à 10 fréquences distinctes.</t>
  </si>
  <si>
    <t>Introduisez les fréquences annuelles dans les lignes qui suivent. Par exemple, 1 pour les voiries que vous balayez une fois par an, 12 pour les voiries balayées chaque mois, 52 pour les voiries balayées une fois par semaine, 260 pour les voiries balayées tous les jours sauf le week-end ou 365 pour les voiries balayées tous les jours de l'année. Ce sont des exemples, vous pouvez indiquer les fréquences qui correspondent à votre commune.</t>
  </si>
  <si>
    <r>
      <t xml:space="preserve">Par balayage manuel, il faut entendre les opétations de nettoyage de la voirie et des espaces publics à l'aide de procédés manuels (pince, balai, pelle, </t>
    </r>
    <r>
      <rPr>
        <sz val="11"/>
        <rFont val="Calibri"/>
        <family val="2"/>
      </rPr>
      <t>chariot</t>
    </r>
    <r>
      <rPr>
        <sz val="11"/>
        <color theme="1"/>
        <rFont val="Calibri"/>
        <family val="2"/>
      </rPr>
      <t>…) ou d'un aspirateur de rue (Glutton…)</t>
    </r>
  </si>
  <si>
    <t>Sources de données</t>
  </si>
  <si>
    <t>Temps de set-up</t>
  </si>
  <si>
    <t>Quel est le temps moyen (en minutes) de mise en route pour un agent, en début de journée ? (s'équiper, se rendre au 1er point de collecte)</t>
  </si>
  <si>
    <t>Quelle est la part des activités de balayage manuel qui est réalisée à l'aide de procédés manuels (pince, balai, pelle, chariot…)</t>
  </si>
  <si>
    <t>Statbel (Direction générale Statistique – Statistics Belgium ) : Population  et superficie au 01/01/2024</t>
  </si>
  <si>
    <t>Statbel (Direction générale Statistique – Statistics Belgium ) : Accidents de la circulation 2017-2022. Nombre d'accidents pour 100 km de route par commune et par année. Km de route par commune calculée sur base des données du réseau routier d'Open Street Maps (OSM) 2023.</t>
  </si>
  <si>
    <t>Vitesse de nettoyage</t>
  </si>
  <si>
    <t>Quel est le temps (en minutes) pour balayer les deux côtés de la voirie sur une longueur de 250 mètres (soit 500 m de balayage) à l'aide d'un aspirateur de rue ? Ne tenez pas compte des temps de set-up ou d'arrêt en cours de balayage.</t>
  </si>
  <si>
    <t>Quel est le temps (en minutes) pour balayer les deux côtés de la voirie sur une longueur de 250 mètres (soit 500 m de balayage) à l'aide de procédés manuels ? Ne tenez pas compte des temps de set-up ou d'arrêt en cours de balayage.</t>
  </si>
  <si>
    <t>Balayage mécanique</t>
  </si>
  <si>
    <t>Les opérations de lavage de la voirie, sans collecte des déchets ne doivent pas être prises en considération</t>
  </si>
  <si>
    <t>Précisez la fréquence de balayage mécanique des voiries en indiquant le nombre de fois par an qu'elles sont balayées mécaniquement</t>
  </si>
  <si>
    <t>Quel est le temps moyen (en minutes) de mise en route pour une balayeuse, en début de journée ? (préparer la balayeuse, se rendre au 1er point de collecte)</t>
  </si>
  <si>
    <t>Balayage manuel : Temps pour se rendre au 1er point de collecte (min)</t>
  </si>
  <si>
    <t>Balayage manuel : Temps pour retourner au point de démarrage (min)</t>
  </si>
  <si>
    <t>Fréquence balayage mécanique Q1</t>
  </si>
  <si>
    <t>Fréquence balayage mécanique Q2</t>
  </si>
  <si>
    <t>Fréquence balayage mécanique Q3</t>
  </si>
  <si>
    <t>Fréquence balayage mécanique Q4</t>
  </si>
  <si>
    <t>Fréquence balayage mécanique moyenne</t>
  </si>
  <si>
    <t>balayage mécanique : Temps pour se rendre au 1er point de collecte (min)</t>
  </si>
  <si>
    <t>balayage mécanique : Temps pour retourner au point de démarrage (min)</t>
  </si>
  <si>
    <t>Vitesse balayage mécanique</t>
  </si>
  <si>
    <t>% balayage manuel avec aspirateur</t>
  </si>
  <si>
    <t>%  balayage mécanique accompagné</t>
  </si>
  <si>
    <t>Nb agents accompagnant balayage mécanique</t>
  </si>
  <si>
    <t>%  balayage mécanique seul</t>
  </si>
  <si>
    <t>Vitesse balayage mécanique accompagné</t>
  </si>
  <si>
    <t>Vitesse balayage mécanique seul</t>
  </si>
  <si>
    <t>% petites balayeuses</t>
  </si>
  <si>
    <t>% balayeuses de taille moyenne</t>
  </si>
  <si>
    <t>% grandes balayeuses</t>
  </si>
  <si>
    <r>
      <t>Par balayage mécanique, il faut entendre les opétations de balayage de la voirie et des espaces publics à l'aide d'une balayeuse mécanique de petite (&lt;2m</t>
    </r>
    <r>
      <rPr>
        <vertAlign val="superscript"/>
        <sz val="11"/>
        <color theme="1"/>
        <rFont val="Calibri"/>
        <family val="2"/>
      </rPr>
      <t>3</t>
    </r>
    <r>
      <rPr>
        <sz val="11"/>
        <color theme="1"/>
        <rFont val="Calibri"/>
        <family val="2"/>
      </rPr>
      <t>) , moyenne (entre 2 et 4 m</t>
    </r>
    <r>
      <rPr>
        <vertAlign val="superscript"/>
        <sz val="11"/>
        <color theme="1"/>
        <rFont val="Calibri"/>
        <family val="2"/>
      </rPr>
      <t>3</t>
    </r>
    <r>
      <rPr>
        <sz val="11"/>
        <color theme="1"/>
        <rFont val="Calibri"/>
        <family val="2"/>
      </rPr>
      <t>) ou grande capacité (&gt; 4m</t>
    </r>
    <r>
      <rPr>
        <vertAlign val="superscript"/>
        <sz val="11"/>
        <color theme="1"/>
        <rFont val="Calibri"/>
        <family val="2"/>
      </rPr>
      <t>3</t>
    </r>
    <r>
      <rPr>
        <sz val="11"/>
        <color theme="1"/>
        <rFont val="Calibri"/>
        <family val="2"/>
      </rPr>
      <t>)</t>
    </r>
  </si>
  <si>
    <t>Les opérations de nettoiement à l'aide d'un aspirateur de rue (Glutton…) ne doivent pas être prises en considération dans ce cadre</t>
  </si>
  <si>
    <t>Quel est le temps moyen (en minutes) mis par une balayeuse pour terminer sa journée après son travail de balayage  ? (se rendre au point de démarrage, temps de mise à l'arrêt de la balayeuse (vider, maintenance quotidienne))</t>
  </si>
  <si>
    <t>Le balayage peut être effectué seul, c'est-à-dire uniquement par la balayeuse, ou accompagné par un ou plusieurs agents de nettoyage manuel qui travaillent conjointement avec la balayeuse mécanique, par exemple en chassant les déchets sous les balais et l'aspiration de la balayeuse.</t>
  </si>
  <si>
    <t>Quel est le temps (en minutes) pour balayer les deux côtés de la voirie sur une longueur de 250 mètres (soit 500 m de balayage) lorsque des agents de nettoyage manuel accompagnent la balayeuse. Ne tenez pas compte des temps de set-up ou d'arrêt en cours de balayage.</t>
  </si>
  <si>
    <t>Quel est le temps (en minutes) pour balayer les deux côtés de la voirie sur une longueur de 250 mètres (soit 500 m de balayage) lorsque la balayeuse travaille seule (sans agent de nettoyage) ? Ne tenez pas compte des temps de set-up ou d'arrêt en cours de balayage.</t>
  </si>
  <si>
    <t>Nettoyage des plages</t>
  </si>
  <si>
    <t>Les opérations de nettoiement des plages privées ou dont l'exploitation est concédée à un opérateur privé ne doivent être prises en considération</t>
  </si>
  <si>
    <t>Quelle est la longueur des plages qui sont nettoyées périodiquement ?</t>
  </si>
  <si>
    <t>Mètres</t>
  </si>
  <si>
    <t>Quelle est la largeur moyenne des plages qui sont nettoyées périodiquement ?</t>
  </si>
  <si>
    <r>
      <t>Surface nettoyée (m</t>
    </r>
    <r>
      <rPr>
        <vertAlign val="superscript"/>
        <sz val="11"/>
        <color theme="1"/>
        <rFont val="Calibri"/>
        <family val="2"/>
      </rPr>
      <t>2</t>
    </r>
    <r>
      <rPr>
        <sz val="11"/>
        <color theme="1"/>
        <rFont val="Calibri"/>
        <family val="2"/>
      </rPr>
      <t>)</t>
    </r>
  </si>
  <si>
    <t>Quel est le temps (en minutes) pour nettoyer un linéaire de 500 mètres de plage</t>
  </si>
  <si>
    <t>Quel est le temps moyen (en minutes) de mise en route pour un nettoyeur de plage, en début de journée ? (préparer le nettoyeur, se rendre au 1er point de nettoyage)</t>
  </si>
  <si>
    <t>Quel est le temps moyen (en minutes) mis par un nettoyeur pour terminer sa journée après son travail de nettoyage  ? (se rendre au point de démarrage, temps de mise à l'arrêt du nettoyeur (vider, maintenance quotidienne))</t>
  </si>
  <si>
    <t>Par vidange des infrastructures de collecte des déchets, il faut entendre les opétations de vidange des poubelles (corbeilles) et des cendriers situés, en extérieur, sur le domaine public.</t>
  </si>
  <si>
    <t>Les infrastructures de collecte privées (poubelles des ménages, entreprises, parkings privés des magasins, terrases des cafés, restaurants…) ne sont pas à prendre en considération</t>
  </si>
  <si>
    <t>Les poubelles peuvent être des poubelles mono-flux ou des ilôts de tri; elles peuvent être équipées ou non d'un cendrier ou d'un éteignoir de cigarettes.</t>
  </si>
  <si>
    <t>Les cendriers à considérer sont les cendriers "stand alone" (non intégrés à une poubelle); ils peuvent être sur pied, accrochés au mur ou intégré au sol.</t>
  </si>
  <si>
    <t>Nombre</t>
  </si>
  <si>
    <t>Quel est le nombre de cendriers "stand alone"  publics sur votre commune ?</t>
  </si>
  <si>
    <t>Quel est le nombre de poubelles (corbeilles à déchets) publiques (avec ou sans cendrier intégré) sur votre commune ?</t>
  </si>
  <si>
    <t>Vidange des infrastructures de collecte de déchets</t>
  </si>
  <si>
    <t>Fréquence de vidange</t>
  </si>
  <si>
    <t>Précisez la fréquence de vidange des infstrastructures de collecte de déchets (poubelles et cendriers) en indiquant le nombre de fois par an qu'elles sont vidangées</t>
  </si>
  <si>
    <t>La fréquence n'est peut-être pas identique pour toutes les poubelles ou cendriers, c'est pourquoi vous pouvez définir, dans le tableau ci-dessous, jusqu'à 10 fréquences distinctes.</t>
  </si>
  <si>
    <t>Nombre total d'infrastructures de collecte</t>
  </si>
  <si>
    <t>Introduisez les fréquences annuelles dans les lignes qui suivent. Par exemple, 52 pour les infrastructures vidangées une fois par semaine, 260 pour les infrastructues vidangées tous les jours sauf le week-end ou 365 pour les infrastructures vidangées tous les jours de l'année. Ce sont des exemples, vous pouvez indiquer les fréquences qui correspondent à votre commune.</t>
  </si>
  <si>
    <t>% des infrastructures</t>
  </si>
  <si>
    <t>Nombre d'infrastructures</t>
  </si>
  <si>
    <t>Secondes</t>
  </si>
  <si>
    <t>Total (en secondes)</t>
  </si>
  <si>
    <t>En général, les tournées de vidange des corbeilles publiques sont effectuées par des équipes composés de 1 ou 2 agents, voire 3 agents dans certains cas.</t>
  </si>
  <si>
    <t>Dans une commune, certaines tournées peuvent être effectuées par un seul agent tandis que d'autres peuvent être effectuées par une équipe de plusieurs agents.</t>
  </si>
  <si>
    <t>Pour chaque fréquence, indiquez la part des infstrastructures concernées. Vous pouvez exprimer la part d'infrastructures en % ou en nombre.</t>
  </si>
  <si>
    <t>Pour chaque composition d'équipe, indiquez la part des infstrastructures concernées. Vous pouvez exprimer la part d'infrastructures en % ou en nombre.</t>
  </si>
  <si>
    <t>Introduisez la composition d'équipe (nous avons pré-rempli avec 1, 2 ou 3 agents mais vous pouvez le modifier si nécessaire) dans la première colonne et indiquez dans les colonnes B ou C la part des infrastructures concernées.</t>
  </si>
  <si>
    <t>Si la composition des équipes est toujours identique, ne complétez qu'une seule ligne et indiquez 100% ou le nombre total de poubelles en regard.</t>
  </si>
  <si>
    <t>Concernant la part des infrastructures vous préférez vous exprimer en :</t>
  </si>
  <si>
    <t>Composition d'équipe</t>
  </si>
  <si>
    <t>Infrastructures de collecte</t>
  </si>
  <si>
    <t>% infrastructures</t>
  </si>
  <si>
    <t>Moyenne</t>
  </si>
  <si>
    <t>Infrastructures de collecte : nombre de poubelles</t>
  </si>
  <si>
    <t>Infrastructures de collecte : nombre de cendrier</t>
  </si>
  <si>
    <t>Infrastructures de collecte : nombre total</t>
  </si>
  <si>
    <t>Infrastructures de collecte : fréquence moyenne</t>
  </si>
  <si>
    <t>Infrastructures de collecte : composition moyenne des équipes</t>
  </si>
  <si>
    <t>Vitesse de vidange</t>
  </si>
  <si>
    <t>Quel est le temps moyen (en minutes) de mise en route pour démarrer la tournée de vidange : démarrer et se rendre au 1er point de vidange ?</t>
  </si>
  <si>
    <t>Quel est le temps moyen (en minutes)mis par un agent pour terminer la tournée de vidange : revenir au point de départ et vider le camion ?</t>
  </si>
  <si>
    <t>Infrastructures de collecte : temps de set-up total</t>
  </si>
  <si>
    <t>Infrastructures de collecte : vitesse de vidange (minutes)</t>
  </si>
  <si>
    <t>Infrastructures de collecte : temps de set-up par infrastructure</t>
  </si>
  <si>
    <t>Nettoyage des plages : superficie nettoyée</t>
  </si>
  <si>
    <t>Nettoyage des plages : fréquence nettoyage</t>
  </si>
  <si>
    <t>Nettoyage des plages : Temps de mise en route (min)</t>
  </si>
  <si>
    <t>Nettoyage des plages : Temps de fin (min)</t>
  </si>
  <si>
    <t>Vitesse nettoyage des plage</t>
  </si>
  <si>
    <t>Les opérations de ratissage sans enlèvement des déchets ne doivent pas être prises en considération.</t>
  </si>
  <si>
    <t>Dans le cas du balayage mécanique accompagné, quel est généralement le nombre d'agents de nettoyage manuel qui interviennent conjointement avec la balayeuse (ne pas compter le chauffeur de la balayeuse) ?</t>
  </si>
  <si>
    <t>Total des activités de balayage mécanique</t>
  </si>
  <si>
    <t>Les infrastructures de collecte situées sur des lieux qui sont gérés ou administrés par un opérateur (souvent réservés aux usagers ou liés à un accès payant) ne sont pas à prendre en considération : par exemple, les parkings de la SNCB, concessions liées à des infrastructures sportives ou culturelles... Les poubelles situées aux arrêts de bus/tram sont à prendre en considération.</t>
  </si>
  <si>
    <t>Les infrastructures de collecte situées à l'intérieur d'un bâtiment ne sont pas à prendre en considération : métro, intérieur des gares…</t>
  </si>
  <si>
    <t>Quel est le temps moyen (en minutes et secondes) pour vidanger une poubelle et se rendre à la poubelle suivante ? ( = temps pour descendre du véhicule, vider la poubelle et la remettre en place, remonter dans le véhicule, démarrer et se rendre à la poubelle suivante et arrêter le véhicule). Ne tenez pas compte des temps de set-up ou d'arrêt.</t>
  </si>
  <si>
    <t>La fréquence n'est peut-être pas identique pour toutes les plages, c'est pourquoi vous pouvez définir, dans le tableau ci-dessous, jusqu'à 10 fréquences distinctes.</t>
  </si>
  <si>
    <t>Introduisez les fréquences annuelles dans les lignes qui suivent, en tenant compte que les plages ne sont, sans doute, pas nettoyées à la même fréquence tout au long de l'année.</t>
  </si>
  <si>
    <t>Concernant la superficie des plages vous préférez vous exprimer en :</t>
  </si>
  <si>
    <t>% de la superficie</t>
  </si>
  <si>
    <t>Superficie (m2)</t>
  </si>
  <si>
    <r>
      <t>Pour chaque fréquence, indiquez la part de la superficie des plages concernées. Vous pouvez exprimer la part de la superficie en % ou en superficie réelle (m</t>
    </r>
    <r>
      <rPr>
        <vertAlign val="superscript"/>
        <sz val="11"/>
        <color theme="1"/>
        <rFont val="Calibri"/>
        <family val="2"/>
      </rPr>
      <t>2</t>
    </r>
    <r>
      <rPr>
        <sz val="11"/>
        <color theme="1"/>
        <rFont val="Calibri"/>
        <family val="2"/>
      </rPr>
      <t>).</t>
    </r>
  </si>
  <si>
    <t>% superficie</t>
  </si>
  <si>
    <t>Organisation</t>
  </si>
  <si>
    <t>Le balayage manuel des voiries et des espaces publics est :</t>
  </si>
  <si>
    <t>Entièrement réalisé en interne</t>
  </si>
  <si>
    <t>Entièrement externalisé (sous-traité)</t>
  </si>
  <si>
    <t>Partiellement réalisé en interne et partiellement externalisé (sous-traité)</t>
  </si>
  <si>
    <t>Nombre d'infrastructures de collecte de déchets</t>
  </si>
  <si>
    <t>Infrastructure de collecte</t>
  </si>
  <si>
    <t>Dans ce cas, merci de compléter les questions relatives à la fréquence de balayage pour l'ensemble des voiries et espaces publics.
En revanche, les questions relatives au temps de set-up, aux modalités de balayage et à la vitesse de balayage ne concerne que les activités que vous réalisez en interne</t>
  </si>
  <si>
    <t>Dans ce cas, merci de compléter les questions relatives à la fréquence de balayage pour l'ensemble des voiries et espaces publics.
En revanche, les questions relatives au temps de set-up, aux modalités de balayage, à la vitesse de balayage et aux types de balayeuses utilisées ne concerne que les activités que vous réalisez en interne</t>
  </si>
  <si>
    <t>Dans ce cas, merci de compléter les questions relativesau nombre d'infrastructures et à la fréquence de vidanges pour l'ensemble de la commune.
En revanche, les questions relatives à la composition des équipes, au temps de set-up et à la vitesse de vidange ne concerne que les activités que vous réalisez en interne</t>
  </si>
  <si>
    <t>Dans ce cas, merci de compléter les questions relatives à la fréquence de nettoyage.
En revanche, les questions relatives au temps de set-up et à la vitesse de nettoyage ne concerne que les activités que vous réalisez en interne</t>
  </si>
  <si>
    <t>La vidange des infrastructures de collecte (poubelles/cendriers) est :</t>
  </si>
  <si>
    <t>Le balayage mécanique des voiries et des espaces publics est :</t>
  </si>
  <si>
    <t>Si vous vous exprimez en %, veillez à ce que le total fasse 100%; si vous vous exprimez en nombre, veillez à ce que le total correspond à la superficie des plages nettoyées que vous avez déterminé plus haut (cellule D21)</t>
  </si>
  <si>
    <t>Cette activité n'est pas réalisée</t>
  </si>
  <si>
    <t>Dans ce cas, les questions qui suivent ne vous concernent pas. Merci de ne pas y répondre.</t>
  </si>
  <si>
    <t>HR-1</t>
  </si>
  <si>
    <t>MR</t>
  </si>
  <si>
    <t>LR</t>
  </si>
  <si>
    <t>HR-2</t>
  </si>
  <si>
    <t>Taux Aspirateurs de rue</t>
  </si>
  <si>
    <t>Taux aspirateurs de rue</t>
  </si>
  <si>
    <t>Petite balayeuse (&lt;2 m³)</t>
  </si>
  <si>
    <t>Balayeuse de taille moyenne (entre 2 et 4 m³)</t>
  </si>
  <si>
    <t>Grande balayeuse (&gt; 4 m³)</t>
  </si>
  <si>
    <t>Taux petites balayeuses</t>
  </si>
  <si>
    <t>Taux balayeuse moyenne</t>
  </si>
  <si>
    <t>Taux grande balayeuse</t>
  </si>
  <si>
    <t>Infrastructures collecte : minutes</t>
  </si>
  <si>
    <t>Infrastructures collecte : secondes</t>
  </si>
  <si>
    <t>Le nettoyage des plages est :</t>
  </si>
  <si>
    <t>Enquête sur les pratiques de collecte des déchets sauvages</t>
  </si>
  <si>
    <t>Le questionnaire est composé de 5 parties : une feuille "Signalétique" vous permettant de sélectionner votre commune et 4 feuilles correspondant aux activités.</t>
  </si>
  <si>
    <t>Nous vous demandons de démarrer par la feuille "Signalétique" et d'y sélectionner votre commune, car certains éléments du questionnaire vont être adaptés selon la commune sélectionnée.</t>
  </si>
  <si>
    <t>Ensuite passez en revue systématiquement les feuilles dédiées aux activités :</t>
  </si>
  <si>
    <t>- Balayage manuel en ce compris le nettoyage des voiries publiques à l'aide d'un aspirateur de rue</t>
  </si>
  <si>
    <t>- Infrastructures de collecte, à savoir la vidange des poubelles publiques (en ce compris les îlots de tri) et des cendriers</t>
  </si>
  <si>
    <t>- Nettoyage des plages à destination des communes côtières.</t>
  </si>
  <si>
    <t>Pour chacune des activités, une première question vous permet d'indiquer comment cette activité est mise en œuvre dans votre commune.</t>
  </si>
  <si>
    <t>- Si vous indiquez que l'activité n'est pas mise en œuvre dans votre commune, vous verrez l'ensemble des autres questions se griser, indiquant par là que vous ne devez pas répondre aux autres questions</t>
  </si>
  <si>
    <t>- Si vous indiquez que l'activité est entièrement externalisée, nous vous invitons à répondre à quelques questions, notamment en lien avec la fréquence de mise en œuvre. En revanche, les questions techniques relatives aux modalités de mise en œuvre ne vous sont pas adressées</t>
  </si>
  <si>
    <t>Nous vous demandons de répondre directement dans le fichier MS-EXCEL transmis.</t>
  </si>
  <si>
    <t>Si vous avez des difficultés ou des questions, vous pouvez nous contacter à l'adresse mail suivante :</t>
  </si>
  <si>
    <t>comase@comase.com</t>
  </si>
  <si>
    <t>Nous vous remercions de votre participation à cette étude</t>
  </si>
  <si>
    <t>Les cellules à compléter sont surlignées en vert, comme celle-ci à titre illustratif</t>
  </si>
  <si>
    <t>- Si vous laissez la donnée pré-encodée, cela signifie que vous êtes en accord avec cette valeur.</t>
  </si>
  <si>
    <t>- Si vous préférez vous abstenir de répondre, effacer la valeur pré-encodée.</t>
  </si>
  <si>
    <t>Nb poubelles</t>
  </si>
  <si>
    <t>Nb cendriers</t>
  </si>
  <si>
    <t>En ce qui concerne les infrastructures de collecte (poubelles publiques et cendriers), nous avons pré-encodé des données issues d'études antérieures ou estimées par analogie avec d'autres communes. Nous vous invitons à modifier ces données afin qu'elles correspondent à la situation actuelle dans votre commune.</t>
  </si>
  <si>
    <t>Les réponses fournies sur d'autres supports ou fichiers ne pourront pas être prises en considération.</t>
  </si>
  <si>
    <t>Si vous souhaitez être recontacté par téléphone, merci de l'indiquer dans votre mail en laissant vos coordonnées et vos disponibilités.</t>
  </si>
  <si>
    <t>- Balayage mécanique en ce compris le balayage accompagné par un ou plusieurs agents de nettoyage manuel qui travaillent conjointement avec la balayeuse mécanique</t>
  </si>
  <si>
    <t>Précisez la fréquence de nettoyage des plages en indiquant le nombre de fois par an qu'elles sont nettoyées</t>
  </si>
  <si>
    <t xml:space="preserve">La première ligne du tableau (avec fréquence annuelle = 0) correspond aux voiries que vous ou votre prestataire (intercommunale, entreprise privée…) ne nettoyez pas via le balayage manuel (uniquement balayage mécanique ou pas de nettoyage). </t>
  </si>
  <si>
    <t>La première ligne du tableau (avec fréquence annuelle = 0) correspond aux voiries que vous ou votre prestataire (intercommunale, entreprise privée…)ne nettoyez pas via le balayage mécanique (uniquement balayage manuel ou pas de balayage). Donc, si votre commune n'a pas recours au balayage mécanique pour nettoyer ses voiries, indiquez "100% des voiries".</t>
  </si>
  <si>
    <t>%</t>
  </si>
  <si>
    <t>Amel</t>
  </si>
  <si>
    <t>Büllingen</t>
  </si>
  <si>
    <t>Bütgenbach</t>
  </si>
  <si>
    <t>Kelmis</t>
  </si>
  <si>
    <t>Hastière</t>
  </si>
  <si>
    <t>Péruwelz</t>
  </si>
  <si>
    <t>La Louvière</t>
  </si>
  <si>
    <t>Ferrières</t>
  </si>
  <si>
    <t>Grâce-Hollogne</t>
  </si>
  <si>
    <t>Héron</t>
  </si>
  <si>
    <t>Neufchâteau</t>
  </si>
  <si>
    <t>Plombières</t>
  </si>
  <si>
    <t>Quévy</t>
  </si>
  <si>
    <t>Visé</t>
  </si>
  <si>
    <t>82039</t>
  </si>
  <si>
    <t>LAU CODE 2025</t>
  </si>
  <si>
    <t>Population 2025</t>
  </si>
  <si>
    <t>Superficie en km² 2025</t>
  </si>
  <si>
    <t>2025 Longueur voirie OSM normalisée Q1</t>
  </si>
  <si>
    <t>2025 Longueur voirie OSM normalisée Q2</t>
  </si>
  <si>
    <t>2025 Longueur voirie OSM normalisée Q3</t>
  </si>
  <si>
    <t>2025 Longueur voirie OSM normalisée Q4</t>
  </si>
  <si>
    <t>Classe risque v4 2025</t>
  </si>
  <si>
    <t>Echantillon</t>
  </si>
  <si>
    <t>Vous pouvez, évidemment, modifier cette réponse pour qu'elle corresponde au mieux à votre commune.</t>
  </si>
  <si>
    <r>
      <t xml:space="preserve">Organisation </t>
    </r>
    <r>
      <rPr>
        <b/>
        <u/>
        <sz val="16"/>
        <color theme="6"/>
        <rFont val="Calibri"/>
        <family val="2"/>
      </rPr>
      <t>***</t>
    </r>
  </si>
  <si>
    <r>
      <t xml:space="preserve">Fréquence de nettoyage </t>
    </r>
    <r>
      <rPr>
        <b/>
        <u/>
        <sz val="16"/>
        <color theme="6"/>
        <rFont val="Calibri"/>
        <family val="2"/>
      </rPr>
      <t>***</t>
    </r>
  </si>
  <si>
    <r>
      <t xml:space="preserve">Modalités de balayage </t>
    </r>
    <r>
      <rPr>
        <b/>
        <u/>
        <sz val="16"/>
        <color theme="6"/>
        <rFont val="Calibri"/>
        <family val="2"/>
      </rPr>
      <t>***</t>
    </r>
  </si>
  <si>
    <r>
      <t xml:space="preserve">Type de balayeuse </t>
    </r>
    <r>
      <rPr>
        <b/>
        <u/>
        <sz val="16"/>
        <color theme="6"/>
        <rFont val="Calibri"/>
        <family val="2"/>
      </rPr>
      <t>***</t>
    </r>
  </si>
  <si>
    <r>
      <t xml:space="preserve">Surfaces nettoyées </t>
    </r>
    <r>
      <rPr>
        <b/>
        <u/>
        <sz val="16"/>
        <color theme="6"/>
        <rFont val="Calibri"/>
        <family val="2"/>
      </rPr>
      <t>***</t>
    </r>
  </si>
  <si>
    <r>
      <t xml:space="preserve">Fréquence de vidange </t>
    </r>
    <r>
      <rPr>
        <b/>
        <u/>
        <sz val="16"/>
        <color theme="6"/>
        <rFont val="Calibri"/>
        <family val="2"/>
      </rPr>
      <t>***</t>
    </r>
  </si>
  <si>
    <r>
      <t xml:space="preserve">Composition des équipes </t>
    </r>
    <r>
      <rPr>
        <b/>
        <u/>
        <sz val="16"/>
        <color theme="6"/>
        <rFont val="Calibri"/>
        <family val="2"/>
      </rPr>
      <t>***</t>
    </r>
  </si>
  <si>
    <t>Commentaire</t>
  </si>
  <si>
    <t>Si vous le souhaitez, ous pouvez compléter chacune de vos réponses par un commentaire afin que nous comprenions au mieux votre réalité.</t>
  </si>
  <si>
    <t>Dans ce cas, l'ensemble des questions vous est adressé</t>
  </si>
  <si>
    <t>Dans ce cas, merci de compléter les questions relatives à la fréquence de balayage pour l'ensemble des voiries et espaces publics.
En revanche, les questions relatives au temps de set-up, aux modalités de balayage et à la vitesse de balayage ne vous concernent pas</t>
  </si>
  <si>
    <t>Dans ce cas, merci de compléter les questions relatives à la fréquence de balayage pour l'ensemble des voiries et espaces publics.
En revanche, les questions relatives au temps de set-up, aux modalités de balayage, à la vitesse de balayage et aux types de balayeuses utilisées ne vous concernent pas.</t>
  </si>
  <si>
    <t>Dans ce cas, merci de compléter les questions relativesau nombre d'infrastructures et à la fréquence de vidanges pour l'ensemble de la commune.
En revanche, les questions relatives à la composition des équipes, au temps de set-up et à la vitesse de vidange ne vous concernent pas</t>
  </si>
  <si>
    <t>Dans ce cas, merci de compléter les questions relatives à la fréquence de nettoyage.
En revanche, les questions relatives au temps de set-up et à la vitesse de nettoyage ne vous concernent pas</t>
  </si>
  <si>
    <t>Si vous vous exprimez en %, veillez à ce que le total fasse 100%; si vous vous exprimez en km, veillez à ce que le total corresponde au nombre total de kilomètres de voiries de votre commune tel que repris dans votre signalétique (ce nombre est calculé par Statbel sur base des données d'Open Street Map 2023 et peut quelque peu différer des données en votre possession).</t>
  </si>
  <si>
    <t>Si vous vous exprimez en %, veillez à ce que le total fasse 100%; si vous vous exprimez en nombre, veillez à ce que le total corresponde au nombre total d'infrastructures que vous avez déterminé plus haut (cellule D23)</t>
  </si>
  <si>
    <r>
      <t xml:space="preserve">Si vous disposez de peu de temps à consacrer à cette enquête, nous vous invitons à répondre prioritairement aux questions marquées par </t>
    </r>
    <r>
      <rPr>
        <b/>
        <sz val="16"/>
        <rFont val="Calibri"/>
        <family val="2"/>
      </rPr>
      <t>***</t>
    </r>
  </si>
  <si>
    <t>Pour les autres questions, nous avons pré-encodé une réponse, issue de la consultation d'études menées sur le sujet en Belgique ou à l'étranger.</t>
  </si>
  <si>
    <t>En ce qui concerne la longueur des voiries de votre commune, nous nous appuyons sur les données établies par la Direction Générale Statistiques - Belgium Statistics sur base d'Open Street Map. La donnée peut quelque peu différer des données en votre possession. Elle n'est toutefois pas modifiable. Si certaines voiries sont nettoyées par le pouvoir régional, n'en tenez pas compte.</t>
  </si>
  <si>
    <t>Par nettoyage des plages, il faut entendre les opétations de nettoyage des plages publiques à l'aide d'une machine permettant de collecter les déchets en surface et en faible profondeur (par exemple, 30 cm)</t>
  </si>
  <si>
    <t>Quelle est la part (en kilomètres) des activités de balayage mécanique qui est réalisée à l'aide d'une balayeuse accompagnée d'un ou plusieurs agents de nettoyage manuel ?</t>
  </si>
  <si>
    <t>Quelle est la part (en kilomètres) des activités de balayage mécanique qui est réalisée à l'aide d'une balayeuse mécanique seule ?</t>
  </si>
  <si>
    <r>
      <t>Quelle est la part (en kilomètres) des activités de balayage mécanique qui est réalisée à l'aide d'une petite balayeuse (&lt; 2 m</t>
    </r>
    <r>
      <rPr>
        <vertAlign val="superscript"/>
        <sz val="11"/>
        <color theme="1"/>
        <rFont val="Calibri"/>
        <family val="2"/>
      </rPr>
      <t>3</t>
    </r>
    <r>
      <rPr>
        <sz val="11"/>
        <color theme="1"/>
        <rFont val="Calibri"/>
        <family val="2"/>
      </rPr>
      <t>) ?</t>
    </r>
  </si>
  <si>
    <r>
      <t>Quelle est la part (en kilomètres) des activités de balayage mécanique qui est réalisée à l'aide d'une  balayeuse de taille moyenne (entre 2 m</t>
    </r>
    <r>
      <rPr>
        <vertAlign val="superscript"/>
        <sz val="11"/>
        <color theme="1"/>
        <rFont val="Calibri"/>
        <family val="2"/>
      </rPr>
      <t xml:space="preserve">3 </t>
    </r>
    <r>
      <rPr>
        <sz val="11"/>
        <color theme="1"/>
        <rFont val="Calibri"/>
        <family val="2"/>
      </rPr>
      <t>et 4 m</t>
    </r>
    <r>
      <rPr>
        <vertAlign val="superscript"/>
        <sz val="11"/>
        <color theme="1"/>
        <rFont val="Calibri"/>
        <family val="2"/>
      </rPr>
      <t>3</t>
    </r>
    <r>
      <rPr>
        <sz val="11"/>
        <color theme="1"/>
        <rFont val="Calibri"/>
        <family val="2"/>
      </rPr>
      <t>) ?</t>
    </r>
  </si>
  <si>
    <r>
      <t>Quelle est la part (en kilomètres) des activités de balayage mécanique qui est réalisée à l'aide d'une grande balayeuse (&gt;4 m</t>
    </r>
    <r>
      <rPr>
        <vertAlign val="superscript"/>
        <sz val="11"/>
        <color theme="1"/>
        <rFont val="Calibri"/>
        <family val="2"/>
      </rPr>
      <t>3</t>
    </r>
    <r>
      <rPr>
        <sz val="11"/>
        <color theme="1"/>
        <rFont val="Calibri"/>
        <family val="2"/>
      </rPr>
      <t>) ?</t>
    </r>
  </si>
  <si>
    <r>
      <t>Merci de nous renvoyer le questionnaire compléter à l'adresse mail comase@comase.com pour le 15/12/2025</t>
    </r>
    <r>
      <rPr>
        <sz val="11"/>
        <color rgb="FFFF0000"/>
        <rFont val="Aptos Narrow"/>
        <family val="2"/>
        <scheme val="minor"/>
      </rPr>
      <t xml:space="preserve"> </t>
    </r>
    <r>
      <rPr>
        <sz val="11"/>
        <color theme="1"/>
        <rFont val="Aptos Narrow"/>
        <family val="2"/>
        <scheme val="minor"/>
      </rPr>
      <t>au plus tard.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</si>
</sst>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6" x14ac:knownFonts="1">
    <font>
      <sz val="11"/>
      <color theme="1"/>
      <name val="Aptos Narrow"/>
      <family val="2"/>
      <scheme val="minor"/>
    </font>
    <font>
      <sz val="11"/>
      <color theme="1"/>
      <name val="Aptos Narrow"/>
      <family val="2"/>
      <scheme val="minor"/>
    </font>
    <font>
      <sz val="11"/>
      <color theme="1"/>
      <name val="Calibri"/>
      <family val="2"/>
    </font>
    <font>
      <sz val="11"/>
      <color theme="4"/>
      <name val="Calibri"/>
      <family val="2"/>
    </font>
    <font>
      <b/>
      <u/>
      <sz val="24"/>
      <color theme="1"/>
      <name val="Calibri"/>
      <family val="2"/>
    </font>
    <font>
      <b/>
      <sz val="11"/>
      <color theme="1"/>
      <name val="Calibri"/>
      <family val="2"/>
    </font>
    <font>
      <b/>
      <u/>
      <sz val="16"/>
      <color theme="1"/>
      <name val="Calibri"/>
      <family val="2"/>
    </font>
    <font>
      <b/>
      <sz val="9"/>
      <color theme="1"/>
      <name val="Arial"/>
      <family val="2"/>
    </font>
    <font>
      <sz val="9"/>
      <color theme="1"/>
      <name val="Arial"/>
      <family val="2"/>
    </font>
    <font>
      <sz val="9"/>
      <color rgb="FFFF0000"/>
      <name val="Arial"/>
      <family val="2"/>
    </font>
    <font>
      <b/>
      <sz val="9"/>
      <name val="Arial"/>
      <family val="2"/>
    </font>
    <font>
      <sz val="9"/>
      <name val="Arial"/>
      <family val="2"/>
    </font>
    <font>
      <sz val="11"/>
      <name val="Calibri"/>
      <family val="2"/>
    </font>
    <font>
      <sz val="14"/>
      <color theme="1"/>
      <name val="Calibri"/>
      <family val="2"/>
    </font>
    <font>
      <b/>
      <sz val="14"/>
      <color theme="4"/>
      <name val="Calibri"/>
      <family val="2"/>
    </font>
    <font>
      <sz val="14"/>
      <color rgb="FFFF0000"/>
      <name val="Calibri"/>
      <family val="2"/>
    </font>
    <font>
      <vertAlign val="superscript"/>
      <sz val="11"/>
      <color theme="1"/>
      <name val="Calibri"/>
      <family val="2"/>
    </font>
    <font>
      <b/>
      <u/>
      <sz val="14"/>
      <color theme="1"/>
      <name val="Calibri"/>
      <family val="2"/>
    </font>
    <font>
      <sz val="11"/>
      <color rgb="FFFF0000"/>
      <name val="Calibri"/>
      <family val="2"/>
    </font>
    <font>
      <u/>
      <sz val="11"/>
      <color theme="10"/>
      <name val="Aptos Narrow"/>
      <family val="2"/>
      <scheme val="minor"/>
    </font>
    <font>
      <sz val="11"/>
      <color rgb="FFFF0000"/>
      <name val="Aptos Narrow"/>
      <family val="2"/>
      <scheme val="minor"/>
    </font>
    <font>
      <b/>
      <u/>
      <sz val="16"/>
      <color theme="6"/>
      <name val="Calibri"/>
      <family val="2"/>
    </font>
    <font>
      <sz val="10"/>
      <color theme="4"/>
      <name val="Calibri"/>
      <family val="2"/>
    </font>
    <font>
      <b/>
      <sz val="11"/>
      <name val="Aptos Narrow"/>
      <family val="2"/>
      <scheme val="minor"/>
    </font>
    <font>
      <b/>
      <sz val="16"/>
      <name val="Calibri"/>
      <family val="2"/>
    </font>
    <font>
      <sz val="11"/>
      <name val="Aptos Narrow"/>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3">
    <xf numFmtId="0" fontId="0" fillId="0" borderId="0"/>
    <xf numFmtId="9" fontId="1" fillId="0" borderId="0" applyFont="0" applyFill="0" applyBorder="0" applyAlignment="0" applyProtection="0"/>
    <xf numFmtId="0" fontId="19" fillId="0" borderId="0" applyNumberFormat="0" applyFill="0" applyBorder="0" applyAlignment="0" applyProtection="0"/>
  </cellStyleXfs>
  <cellXfs count="100">
    <xf numFmtId="0" fontId="0" fillId="0" borderId="0" xfId="0"/>
    <xf numFmtId="9" fontId="0" fillId="0" borderId="0" xfId="1" applyFont="1"/>
    <xf numFmtId="0" fontId="2" fillId="0" borderId="0" xfId="0" applyFont="1"/>
    <xf numFmtId="0" fontId="2" fillId="0" borderId="1" xfId="0" applyFont="1" applyBorder="1"/>
    <xf numFmtId="0" fontId="2" fillId="0" borderId="1" xfId="0" applyFont="1" applyBorder="1" applyAlignment="1">
      <alignment horizontal="center"/>
    </xf>
    <xf numFmtId="9" fontId="2" fillId="0" borderId="0" xfId="1" applyFont="1"/>
    <xf numFmtId="9" fontId="2" fillId="0" borderId="1" xfId="1" applyFont="1" applyBorder="1"/>
    <xf numFmtId="0" fontId="4" fillId="0" borderId="0" xfId="0" applyFont="1"/>
    <xf numFmtId="0" fontId="6" fillId="0" borderId="0" xfId="0" applyFont="1"/>
    <xf numFmtId="0" fontId="7" fillId="3" borderId="0" xfId="0" applyFont="1" applyFill="1" applyAlignment="1">
      <alignment vertical="center" wrapText="1"/>
    </xf>
    <xf numFmtId="49" fontId="8" fillId="0" borderId="0" xfId="0" applyNumberFormat="1" applyFont="1"/>
    <xf numFmtId="49" fontId="9" fillId="0" borderId="0" xfId="0" applyNumberFormat="1" applyFont="1"/>
    <xf numFmtId="0" fontId="8" fillId="0" borderId="0" xfId="0" applyFont="1"/>
    <xf numFmtId="0" fontId="10" fillId="3" borderId="0" xfId="0" applyFont="1" applyFill="1" applyAlignment="1">
      <alignment vertical="center" wrapText="1"/>
    </xf>
    <xf numFmtId="49" fontId="11" fillId="0" borderId="0" xfId="0" applyNumberFormat="1" applyFont="1"/>
    <xf numFmtId="3" fontId="0" fillId="0" borderId="0" xfId="0" applyNumberFormat="1"/>
    <xf numFmtId="4" fontId="0" fillId="0" borderId="0" xfId="0" applyNumberFormat="1"/>
    <xf numFmtId="164" fontId="0" fillId="0" borderId="0" xfId="0" applyNumberFormat="1"/>
    <xf numFmtId="165" fontId="12" fillId="0" borderId="0" xfId="0" applyNumberFormat="1" applyFont="1" applyAlignment="1">
      <alignment horizontal="center" vertical="center" wrapText="1"/>
    </xf>
    <xf numFmtId="3" fontId="2" fillId="0" borderId="0" xfId="0" applyNumberFormat="1" applyFont="1"/>
    <xf numFmtId="0" fontId="13" fillId="0" borderId="0" xfId="0" applyFont="1"/>
    <xf numFmtId="9" fontId="2" fillId="0" borderId="1" xfId="1" applyFont="1" applyBorder="1" applyAlignment="1">
      <alignment horizontal="center"/>
    </xf>
    <xf numFmtId="3" fontId="3" fillId="0" borderId="0" xfId="0" applyNumberFormat="1" applyFont="1"/>
    <xf numFmtId="9" fontId="2" fillId="0" borderId="1" xfId="0" applyNumberFormat="1" applyFont="1" applyBorder="1"/>
    <xf numFmtId="0" fontId="13" fillId="0" borderId="1" xfId="0" applyFont="1" applyBorder="1"/>
    <xf numFmtId="3" fontId="13" fillId="0" borderId="1" xfId="0" applyNumberFormat="1" applyFont="1" applyBorder="1" applyAlignment="1">
      <alignment horizontal="left"/>
    </xf>
    <xf numFmtId="165" fontId="2" fillId="0" borderId="1" xfId="0" applyNumberFormat="1" applyFont="1" applyBorder="1"/>
    <xf numFmtId="0" fontId="5" fillId="0" borderId="1" xfId="0" applyFont="1" applyBorder="1"/>
    <xf numFmtId="165" fontId="5" fillId="0" borderId="1" xfId="0" applyNumberFormat="1" applyFont="1" applyBorder="1"/>
    <xf numFmtId="0" fontId="5" fillId="0" borderId="1" xfId="0" applyFont="1" applyBorder="1" applyAlignment="1">
      <alignment horizontal="center"/>
    </xf>
    <xf numFmtId="0" fontId="2" fillId="0" borderId="1" xfId="0" applyFont="1" applyBorder="1" applyAlignment="1">
      <alignment horizontal="right"/>
    </xf>
    <xf numFmtId="9" fontId="2" fillId="0" borderId="1" xfId="0" applyNumberFormat="1" applyFont="1" applyBorder="1" applyAlignment="1">
      <alignment horizontal="center" vertical="center"/>
    </xf>
    <xf numFmtId="165" fontId="0" fillId="0" borderId="0" xfId="0" applyNumberFormat="1"/>
    <xf numFmtId="0" fontId="14" fillId="2" borderId="1" xfId="0" applyFont="1" applyFill="1" applyBorder="1" applyProtection="1">
      <protection locked="0"/>
    </xf>
    <xf numFmtId="3" fontId="3" fillId="2" borderId="1" xfId="0" applyNumberFormat="1" applyFont="1" applyFill="1" applyBorder="1" applyProtection="1">
      <protection locked="0"/>
    </xf>
    <xf numFmtId="0" fontId="3" fillId="2" borderId="1" xfId="0" applyFont="1" applyFill="1" applyBorder="1" applyAlignment="1" applyProtection="1">
      <alignment horizontal="center"/>
      <protection locked="0"/>
    </xf>
    <xf numFmtId="9" fontId="3" fillId="2" borderId="1" xfId="1" applyFont="1" applyFill="1" applyBorder="1" applyAlignment="1" applyProtection="1">
      <alignment horizontal="center" vertical="center"/>
      <protection locked="0"/>
    </xf>
    <xf numFmtId="3" fontId="3" fillId="2" borderId="1" xfId="0" applyNumberFormat="1" applyFont="1" applyFill="1" applyBorder="1" applyAlignment="1" applyProtection="1">
      <alignment horizontal="center" vertical="center"/>
      <protection locked="0"/>
    </xf>
    <xf numFmtId="0" fontId="15" fillId="0" borderId="0" xfId="0" applyFont="1"/>
    <xf numFmtId="3" fontId="2" fillId="0" borderId="1" xfId="0" applyNumberFormat="1" applyFont="1" applyBorder="1" applyAlignment="1">
      <alignment horizontal="center" vertical="center"/>
    </xf>
    <xf numFmtId="0" fontId="2" fillId="0" borderId="0" xfId="0" applyFont="1" applyAlignment="1">
      <alignment wrapText="1"/>
    </xf>
    <xf numFmtId="3" fontId="3" fillId="0" borderId="1" xfId="0" applyNumberFormat="1" applyFont="1" applyBorder="1" applyAlignment="1" applyProtection="1">
      <alignment horizontal="center" vertical="center"/>
      <protection locked="0"/>
    </xf>
    <xf numFmtId="9" fontId="2" fillId="4" borderId="1" xfId="1" applyFont="1" applyFill="1" applyBorder="1" applyAlignment="1">
      <alignment horizontal="center"/>
    </xf>
    <xf numFmtId="165" fontId="12" fillId="5" borderId="0" xfId="0" applyNumberFormat="1" applyFont="1" applyFill="1" applyAlignment="1">
      <alignment horizontal="center" vertical="center" wrapText="1"/>
    </xf>
    <xf numFmtId="0" fontId="0" fillId="5" borderId="0" xfId="0" applyFill="1" applyAlignment="1">
      <alignment wrapText="1"/>
    </xf>
    <xf numFmtId="165" fontId="12" fillId="6" borderId="0" xfId="0" applyNumberFormat="1" applyFont="1" applyFill="1" applyAlignment="1">
      <alignment horizontal="center" vertical="center" wrapText="1"/>
    </xf>
    <xf numFmtId="0" fontId="0" fillId="6" borderId="0" xfId="0" applyFill="1" applyAlignment="1">
      <alignment wrapText="1"/>
    </xf>
    <xf numFmtId="165" fontId="12" fillId="2" borderId="0" xfId="0" applyNumberFormat="1" applyFont="1" applyFill="1" applyAlignment="1">
      <alignment horizontal="center" vertical="center" wrapText="1"/>
    </xf>
    <xf numFmtId="165" fontId="12" fillId="7" borderId="0" xfId="0" applyNumberFormat="1" applyFont="1" applyFill="1" applyAlignment="1">
      <alignment horizontal="center" vertical="center" wrapText="1"/>
    </xf>
    <xf numFmtId="0" fontId="17" fillId="0" borderId="0" xfId="0" applyFont="1"/>
    <xf numFmtId="0" fontId="2" fillId="0" borderId="0" xfId="0" applyFont="1" applyAlignment="1">
      <alignment vertical="top" wrapText="1"/>
    </xf>
    <xf numFmtId="0" fontId="2" fillId="0" borderId="0" xfId="0" applyFont="1" applyAlignment="1">
      <alignment horizontal="center"/>
    </xf>
    <xf numFmtId="0" fontId="0" fillId="0" borderId="0" xfId="0" applyAlignment="1">
      <alignment wrapText="1"/>
    </xf>
    <xf numFmtId="0" fontId="2" fillId="0" borderId="0" xfId="0" applyFont="1" applyAlignment="1">
      <alignment vertical="top"/>
    </xf>
    <xf numFmtId="9" fontId="0" fillId="0" borderId="0" xfId="0" applyNumberFormat="1"/>
    <xf numFmtId="0" fontId="0" fillId="0" borderId="0" xfId="0" applyAlignment="1">
      <alignment horizontal="left" vertical="center"/>
    </xf>
    <xf numFmtId="2" fontId="0" fillId="0" borderId="0" xfId="0" applyNumberFormat="1"/>
    <xf numFmtId="9" fontId="2" fillId="0" borderId="1" xfId="1" applyFont="1" applyBorder="1" applyAlignment="1">
      <alignment horizontal="center" vertical="center"/>
    </xf>
    <xf numFmtId="9" fontId="2" fillId="0" borderId="1" xfId="1" applyFont="1" applyBorder="1" applyAlignment="1" applyProtection="1">
      <alignment horizontal="center" vertical="center"/>
    </xf>
    <xf numFmtId="0" fontId="2" fillId="0" borderId="1" xfId="0" applyFont="1" applyBorder="1" applyAlignment="1">
      <alignment wrapText="1"/>
    </xf>
    <xf numFmtId="0" fontId="8" fillId="8" borderId="0" xfId="0" applyFont="1" applyFill="1" applyAlignment="1">
      <alignment vertical="center" wrapText="1"/>
    </xf>
    <xf numFmtId="0" fontId="2" fillId="0" borderId="1" xfId="0" applyFont="1" applyBorder="1" applyAlignment="1">
      <alignment vertical="center"/>
    </xf>
    <xf numFmtId="0" fontId="2" fillId="9" borderId="1" xfId="0" applyFont="1" applyFill="1" applyBorder="1"/>
    <xf numFmtId="0" fontId="2" fillId="0" borderId="1" xfId="0" applyFont="1" applyBorder="1" applyAlignment="1">
      <alignment vertical="center" wrapText="1"/>
    </xf>
    <xf numFmtId="0" fontId="2" fillId="9" borderId="1" xfId="0" applyFont="1" applyFill="1" applyBorder="1" applyAlignment="1">
      <alignment horizontal="center"/>
    </xf>
    <xf numFmtId="0" fontId="22" fillId="2" borderId="1" xfId="0" applyFont="1" applyFill="1" applyBorder="1" applyAlignment="1" applyProtection="1">
      <alignment vertical="top" wrapText="1"/>
      <protection locked="0"/>
    </xf>
    <xf numFmtId="0" fontId="2" fillId="9" borderId="1" xfId="0" applyFont="1" applyFill="1" applyBorder="1" applyAlignment="1">
      <alignment horizontal="center" vertical="top"/>
    </xf>
    <xf numFmtId="0" fontId="2" fillId="9" borderId="1" xfId="0" applyFont="1" applyFill="1" applyBorder="1" applyAlignment="1">
      <alignment horizontal="center" vertical="center"/>
    </xf>
    <xf numFmtId="0" fontId="22" fillId="0" borderId="1" xfId="0" applyFont="1" applyBorder="1" applyAlignment="1">
      <alignment vertical="top" wrapText="1"/>
    </xf>
    <xf numFmtId="0" fontId="22" fillId="0" borderId="0" xfId="0" applyFont="1" applyAlignment="1" applyProtection="1">
      <alignment vertical="top" wrapText="1"/>
      <protection locked="0"/>
    </xf>
    <xf numFmtId="9" fontId="0" fillId="0" borderId="0" xfId="1" applyFont="1" applyFill="1"/>
    <xf numFmtId="0" fontId="0" fillId="0" borderId="0" xfId="0" applyAlignment="1">
      <alignment horizontal="left" vertical="top" wrapText="1"/>
    </xf>
    <xf numFmtId="0" fontId="25" fillId="0" borderId="0" xfId="0" applyFont="1" applyAlignment="1">
      <alignment horizontal="left" vertical="top" wrapText="1"/>
    </xf>
    <xf numFmtId="0" fontId="19" fillId="0" borderId="0" xfId="2" applyAlignment="1">
      <alignment horizontal="left" vertical="top" wrapText="1"/>
    </xf>
    <xf numFmtId="0" fontId="0" fillId="0" borderId="0" xfId="0" quotePrefix="1" applyAlignment="1">
      <alignment horizontal="left" vertical="top" wrapText="1" indent="1"/>
    </xf>
    <xf numFmtId="0" fontId="0" fillId="0" borderId="0" xfId="0" quotePrefix="1" applyAlignment="1">
      <alignment horizontal="left" vertical="top" wrapText="1"/>
    </xf>
    <xf numFmtId="0" fontId="23" fillId="0" borderId="0" xfId="0" applyFont="1" applyAlignment="1">
      <alignment horizontal="left" vertical="center" wrapText="1"/>
    </xf>
    <xf numFmtId="0" fontId="25" fillId="0" borderId="0" xfId="0" quotePrefix="1" applyFont="1" applyAlignment="1">
      <alignment horizontal="left" vertical="top" wrapText="1"/>
    </xf>
    <xf numFmtId="0" fontId="0" fillId="2" borderId="0" xfId="0" applyFill="1" applyAlignment="1">
      <alignment horizontal="left" vertical="top" wrapText="1"/>
    </xf>
    <xf numFmtId="0" fontId="2" fillId="0" borderId="0" xfId="0" quotePrefix="1" applyFont="1" applyAlignment="1">
      <alignment vertical="top" wrapText="1"/>
    </xf>
    <xf numFmtId="0" fontId="2" fillId="0" borderId="0" xfId="0" applyFont="1" applyAlignment="1">
      <alignment vertical="top" wrapText="1"/>
    </xf>
    <xf numFmtId="0" fontId="22" fillId="2" borderId="1" xfId="0" applyFont="1" applyFill="1" applyBorder="1" applyAlignment="1" applyProtection="1">
      <alignment vertical="top" wrapText="1"/>
      <protection locked="0"/>
    </xf>
    <xf numFmtId="0" fontId="2" fillId="0" borderId="1" xfId="0" applyFont="1" applyBorder="1"/>
    <xf numFmtId="0" fontId="2" fillId="9" borderId="1" xfId="0" applyFont="1" applyFill="1" applyBorder="1"/>
    <xf numFmtId="0" fontId="2" fillId="2" borderId="5" xfId="0" applyFont="1" applyFill="1" applyBorder="1" applyAlignment="1" applyProtection="1">
      <alignment vertical="center"/>
      <protection locked="0"/>
    </xf>
    <xf numFmtId="0" fontId="2" fillId="2" borderId="6" xfId="0" applyFont="1" applyFill="1" applyBorder="1" applyAlignment="1" applyProtection="1">
      <alignment vertical="center"/>
      <protection locked="0"/>
    </xf>
    <xf numFmtId="0" fontId="2" fillId="2" borderId="7" xfId="0" applyFont="1" applyFill="1" applyBorder="1" applyAlignment="1" applyProtection="1">
      <alignment vertical="center"/>
      <protection locked="0"/>
    </xf>
    <xf numFmtId="0" fontId="2" fillId="2" borderId="8" xfId="0" applyFont="1" applyFill="1" applyBorder="1" applyAlignment="1" applyProtection="1">
      <alignment vertical="center"/>
      <protection locked="0"/>
    </xf>
    <xf numFmtId="0" fontId="2" fillId="2" borderId="3" xfId="0" applyFont="1" applyFill="1" applyBorder="1" applyAlignment="1" applyProtection="1">
      <alignment vertical="center"/>
      <protection locked="0"/>
    </xf>
    <xf numFmtId="0" fontId="2" fillId="2" borderId="4" xfId="0" applyFont="1" applyFill="1" applyBorder="1" applyAlignment="1" applyProtection="1">
      <alignment vertical="center"/>
      <protection locked="0"/>
    </xf>
    <xf numFmtId="0" fontId="2" fillId="9" borderId="1" xfId="0" applyFont="1" applyFill="1" applyBorder="1" applyAlignment="1">
      <alignment wrapText="1"/>
    </xf>
    <xf numFmtId="0" fontId="2" fillId="0" borderId="1" xfId="0" applyFont="1" applyBorder="1" applyAlignment="1">
      <alignment wrapText="1"/>
    </xf>
    <xf numFmtId="0" fontId="12" fillId="0" borderId="0" xfId="0" applyFont="1" applyAlignment="1">
      <alignment vertical="top" wrapText="1"/>
    </xf>
    <xf numFmtId="0" fontId="18" fillId="0" borderId="1" xfId="0" applyFont="1" applyBorder="1" applyAlignment="1">
      <alignment vertical="top" wrapText="1"/>
    </xf>
    <xf numFmtId="0" fontId="2" fillId="0" borderId="1" xfId="0" applyFont="1" applyBorder="1" applyAlignment="1">
      <alignment vertical="top" wrapText="1"/>
    </xf>
    <xf numFmtId="0" fontId="22" fillId="2" borderId="2" xfId="0" applyFont="1" applyFill="1" applyBorder="1" applyAlignment="1" applyProtection="1">
      <alignment vertical="top" wrapText="1"/>
      <protection locked="0"/>
    </xf>
    <xf numFmtId="0" fontId="2" fillId="9" borderId="1" xfId="0" applyFont="1" applyFill="1" applyBorder="1" applyAlignment="1">
      <alignment horizontal="center"/>
    </xf>
    <xf numFmtId="0" fontId="2" fillId="2" borderId="1" xfId="0" applyFont="1" applyFill="1" applyBorder="1" applyAlignment="1" applyProtection="1">
      <alignment vertical="center"/>
      <protection locked="0"/>
    </xf>
    <xf numFmtId="0" fontId="22" fillId="2" borderId="1" xfId="0" applyFont="1" applyFill="1" applyBorder="1" applyAlignment="1" applyProtection="1">
      <alignment horizontal="center" vertical="top" wrapText="1"/>
      <protection locked="0"/>
    </xf>
    <xf numFmtId="0" fontId="2" fillId="9" borderId="1" xfId="0" applyFont="1" applyFill="1" applyBorder="1" applyAlignment="1">
      <alignment horizontal="center" wrapText="1"/>
    </xf>
  </cellXfs>
  <cellStyles count="3">
    <cellStyle name="Lien hypertexte" xfId="2" builtinId="8"/>
    <cellStyle name="Normal" xfId="0" builtinId="0"/>
    <cellStyle name="Pourcentage" xfId="1" builtinId="5"/>
  </cellStyles>
  <dxfs count="51">
    <dxf>
      <font>
        <color rgb="FFC00000"/>
      </font>
      <fill>
        <patternFill>
          <bgColor theme="5" tint="0.59996337778862885"/>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24994659260841701"/>
        </patternFill>
      </fill>
    </dxf>
    <dxf>
      <fill>
        <patternFill>
          <bgColor theme="0" tint="-0.499984740745262"/>
        </patternFill>
      </fill>
    </dxf>
    <dxf>
      <fill>
        <patternFill>
          <bgColor theme="1" tint="0.24994659260841701"/>
        </patternFill>
      </fill>
    </dxf>
    <dxf>
      <fill>
        <patternFill>
          <bgColor theme="1" tint="0.24994659260841701"/>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24994659260841701"/>
        </patternFill>
      </fill>
    </dxf>
    <dxf>
      <fill>
        <patternFill>
          <bgColor theme="0" tint="-0.499984740745262"/>
        </patternFill>
      </fill>
    </dxf>
    <dxf>
      <font>
        <color rgb="FF9C0006"/>
      </font>
      <fill>
        <patternFill>
          <bgColor rgb="FFFFC7CE"/>
        </patternFill>
      </fill>
    </dxf>
    <dxf>
      <fill>
        <patternFill>
          <bgColor theme="0" tint="-0.499984740745262"/>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14996795556505021"/>
        </patternFill>
      </fill>
    </dxf>
    <dxf>
      <fill>
        <patternFill>
          <bgColor theme="0" tint="-0.499984740745262"/>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ont>
        <color rgb="FFC00000"/>
      </font>
      <fill>
        <patternFill>
          <bgColor theme="5"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2" tint="-0.749961851863155"/>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comase@comase.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1605C-9CE7-4C83-BB85-2E6940CD283E}">
  <dimension ref="A1:J36"/>
  <sheetViews>
    <sheetView tabSelected="1" workbookViewId="0"/>
  </sheetViews>
  <sheetFormatPr baseColWidth="10" defaultRowHeight="14.4" x14ac:dyDescent="0.3"/>
  <sheetData>
    <row r="1" spans="1:10" ht="31.2" x14ac:dyDescent="0.6">
      <c r="A1" s="7" t="s">
        <v>695</v>
      </c>
    </row>
    <row r="3" spans="1:10" ht="36.75" customHeight="1" x14ac:dyDescent="0.3">
      <c r="A3" s="71" t="s">
        <v>696</v>
      </c>
      <c r="B3" s="71"/>
      <c r="C3" s="71"/>
      <c r="D3" s="71"/>
      <c r="E3" s="71"/>
      <c r="F3" s="71"/>
      <c r="G3" s="71"/>
      <c r="H3" s="71"/>
      <c r="I3" s="71"/>
      <c r="J3" s="71"/>
    </row>
    <row r="4" spans="1:10" x14ac:dyDescent="0.3">
      <c r="A4" s="71"/>
      <c r="B4" s="71"/>
      <c r="C4" s="71"/>
      <c r="D4" s="71"/>
      <c r="E4" s="71"/>
      <c r="F4" s="71"/>
      <c r="G4" s="71"/>
      <c r="H4" s="71"/>
      <c r="I4" s="71"/>
      <c r="J4" s="71"/>
    </row>
    <row r="5" spans="1:10" ht="31.5" customHeight="1" x14ac:dyDescent="0.3">
      <c r="A5" s="71" t="s">
        <v>697</v>
      </c>
      <c r="B5" s="71"/>
      <c r="C5" s="71"/>
      <c r="D5" s="71"/>
      <c r="E5" s="71"/>
      <c r="F5" s="71"/>
      <c r="G5" s="71"/>
      <c r="H5" s="71"/>
      <c r="I5" s="71"/>
      <c r="J5" s="71"/>
    </row>
    <row r="6" spans="1:10" ht="20.25" customHeight="1" x14ac:dyDescent="0.3">
      <c r="A6" s="71" t="s">
        <v>698</v>
      </c>
      <c r="B6" s="71"/>
      <c r="C6" s="71"/>
      <c r="D6" s="71"/>
      <c r="E6" s="71"/>
      <c r="F6" s="71"/>
      <c r="G6" s="71"/>
      <c r="H6" s="71"/>
      <c r="I6" s="71"/>
      <c r="J6" s="71"/>
    </row>
    <row r="7" spans="1:10" ht="21" customHeight="1" x14ac:dyDescent="0.3">
      <c r="A7" s="74" t="s">
        <v>699</v>
      </c>
      <c r="B7" s="74"/>
      <c r="C7" s="74"/>
      <c r="D7" s="74"/>
      <c r="E7" s="74"/>
      <c r="F7" s="74"/>
      <c r="G7" s="74"/>
      <c r="H7" s="74"/>
      <c r="I7" s="74"/>
      <c r="J7" s="74"/>
    </row>
    <row r="8" spans="1:10" ht="31.5" customHeight="1" x14ac:dyDescent="0.3">
      <c r="A8" s="74" t="s">
        <v>717</v>
      </c>
      <c r="B8" s="74"/>
      <c r="C8" s="74"/>
      <c r="D8" s="74"/>
      <c r="E8" s="74"/>
      <c r="F8" s="74"/>
      <c r="G8" s="74"/>
      <c r="H8" s="74"/>
      <c r="I8" s="74"/>
      <c r="J8" s="74"/>
    </row>
    <row r="9" spans="1:10" ht="21" customHeight="1" x14ac:dyDescent="0.3">
      <c r="A9" s="74" t="s">
        <v>700</v>
      </c>
      <c r="B9" s="74"/>
      <c r="C9" s="74"/>
      <c r="D9" s="74"/>
      <c r="E9" s="74"/>
      <c r="F9" s="74"/>
      <c r="G9" s="74"/>
      <c r="H9" s="74"/>
      <c r="I9" s="74"/>
      <c r="J9" s="74"/>
    </row>
    <row r="10" spans="1:10" ht="20.25" customHeight="1" x14ac:dyDescent="0.3">
      <c r="A10" s="74" t="s">
        <v>701</v>
      </c>
      <c r="B10" s="74"/>
      <c r="C10" s="74"/>
      <c r="D10" s="74"/>
      <c r="E10" s="74"/>
      <c r="F10" s="74"/>
      <c r="G10" s="74"/>
      <c r="H10" s="74"/>
      <c r="I10" s="74"/>
      <c r="J10" s="74"/>
    </row>
    <row r="11" spans="1:10" x14ac:dyDescent="0.3">
      <c r="A11" s="71"/>
      <c r="B11" s="71"/>
      <c r="C11" s="71"/>
      <c r="D11" s="71"/>
      <c r="E11" s="71"/>
      <c r="F11" s="71"/>
      <c r="G11" s="71"/>
      <c r="H11" s="71"/>
      <c r="I11" s="71"/>
      <c r="J11" s="71"/>
    </row>
    <row r="12" spans="1:10" ht="35.25" customHeight="1" x14ac:dyDescent="0.3">
      <c r="A12" s="71" t="s">
        <v>702</v>
      </c>
      <c r="B12" s="71"/>
      <c r="C12" s="71"/>
      <c r="D12" s="71"/>
      <c r="E12" s="71"/>
      <c r="F12" s="71"/>
      <c r="G12" s="71"/>
      <c r="H12" s="71"/>
      <c r="I12" s="71"/>
      <c r="J12" s="71"/>
    </row>
    <row r="13" spans="1:10" ht="34.5" customHeight="1" x14ac:dyDescent="0.3">
      <c r="A13" s="74" t="s">
        <v>703</v>
      </c>
      <c r="B13" s="74"/>
      <c r="C13" s="74"/>
      <c r="D13" s="74"/>
      <c r="E13" s="74"/>
      <c r="F13" s="74"/>
      <c r="G13" s="74"/>
      <c r="H13" s="74"/>
      <c r="I13" s="74"/>
      <c r="J13" s="74"/>
    </row>
    <row r="14" spans="1:10" ht="45.75" customHeight="1" x14ac:dyDescent="0.3">
      <c r="A14" s="74" t="s">
        <v>704</v>
      </c>
      <c r="B14" s="74"/>
      <c r="C14" s="74"/>
      <c r="D14" s="74"/>
      <c r="E14" s="74"/>
      <c r="F14" s="74"/>
      <c r="G14" s="74"/>
      <c r="H14" s="74"/>
      <c r="I14" s="74"/>
      <c r="J14" s="74"/>
    </row>
    <row r="15" spans="1:10" x14ac:dyDescent="0.3">
      <c r="A15" s="71"/>
      <c r="B15" s="71"/>
      <c r="C15" s="71"/>
      <c r="D15" s="71"/>
      <c r="E15" s="71"/>
      <c r="F15" s="71"/>
      <c r="G15" s="71"/>
      <c r="H15" s="71"/>
      <c r="I15" s="71"/>
      <c r="J15" s="71"/>
    </row>
    <row r="16" spans="1:10" x14ac:dyDescent="0.3">
      <c r="A16" s="78" t="s">
        <v>709</v>
      </c>
      <c r="B16" s="78"/>
      <c r="C16" s="78"/>
      <c r="D16" s="78"/>
      <c r="E16" s="78"/>
      <c r="F16" s="78"/>
      <c r="G16" s="78"/>
      <c r="H16" s="78"/>
      <c r="I16" s="78"/>
      <c r="J16" s="78"/>
    </row>
    <row r="17" spans="1:10" ht="41.25" customHeight="1" x14ac:dyDescent="0.3">
      <c r="A17" s="76" t="s">
        <v>763</v>
      </c>
      <c r="B17" s="76"/>
      <c r="C17" s="76"/>
      <c r="D17" s="76"/>
      <c r="E17" s="76"/>
      <c r="F17" s="76"/>
      <c r="G17" s="76"/>
      <c r="H17" s="76"/>
      <c r="I17" s="76"/>
      <c r="J17" s="76"/>
    </row>
    <row r="18" spans="1:10" ht="32.25" customHeight="1" x14ac:dyDescent="0.3">
      <c r="A18" s="72" t="s">
        <v>764</v>
      </c>
      <c r="B18" s="72"/>
      <c r="C18" s="72"/>
      <c r="D18" s="72"/>
      <c r="E18" s="72"/>
      <c r="F18" s="72"/>
      <c r="G18" s="72"/>
      <c r="H18" s="72"/>
      <c r="I18" s="72"/>
      <c r="J18" s="72"/>
    </row>
    <row r="19" spans="1:10" ht="23.25" customHeight="1" x14ac:dyDescent="0.3">
      <c r="A19" s="75" t="s">
        <v>746</v>
      </c>
      <c r="B19" s="71"/>
      <c r="C19" s="71"/>
      <c r="D19" s="71"/>
      <c r="E19" s="71"/>
      <c r="F19" s="71"/>
      <c r="G19" s="71"/>
      <c r="H19" s="71"/>
      <c r="I19" s="71"/>
      <c r="J19" s="71"/>
    </row>
    <row r="20" spans="1:10" ht="19.5" customHeight="1" x14ac:dyDescent="0.3">
      <c r="A20" s="75" t="s">
        <v>710</v>
      </c>
      <c r="B20" s="71"/>
      <c r="C20" s="71"/>
      <c r="D20" s="71"/>
      <c r="E20" s="71"/>
      <c r="F20" s="71"/>
      <c r="G20" s="71"/>
      <c r="H20" s="71"/>
      <c r="I20" s="71"/>
      <c r="J20" s="71"/>
    </row>
    <row r="21" spans="1:10" ht="18.75" customHeight="1" x14ac:dyDescent="0.3">
      <c r="A21" s="75" t="s">
        <v>711</v>
      </c>
      <c r="B21" s="71"/>
      <c r="C21" s="71"/>
      <c r="D21" s="71"/>
      <c r="E21" s="71"/>
      <c r="F21" s="71"/>
      <c r="G21" s="71"/>
      <c r="H21" s="71"/>
      <c r="I21" s="71"/>
      <c r="J21" s="71"/>
    </row>
    <row r="22" spans="1:10" x14ac:dyDescent="0.3">
      <c r="A22" s="71"/>
      <c r="B22" s="71"/>
      <c r="C22" s="71"/>
      <c r="D22" s="71"/>
      <c r="E22" s="71"/>
      <c r="F22" s="71"/>
      <c r="G22" s="71"/>
      <c r="H22" s="71"/>
      <c r="I22" s="71"/>
      <c r="J22" s="71"/>
    </row>
    <row r="23" spans="1:10" ht="35.25" customHeight="1" x14ac:dyDescent="0.3">
      <c r="A23" s="77" t="s">
        <v>755</v>
      </c>
      <c r="B23" s="72"/>
      <c r="C23" s="72"/>
      <c r="D23" s="72"/>
      <c r="E23" s="72"/>
      <c r="F23" s="72"/>
      <c r="G23" s="72"/>
      <c r="H23" s="72"/>
      <c r="I23" s="72"/>
      <c r="J23" s="72"/>
    </row>
    <row r="24" spans="1:10" x14ac:dyDescent="0.3">
      <c r="A24" s="75"/>
      <c r="B24" s="71"/>
      <c r="C24" s="71"/>
      <c r="D24" s="71"/>
      <c r="E24" s="71"/>
      <c r="F24" s="71"/>
      <c r="G24" s="71"/>
      <c r="H24" s="71"/>
      <c r="I24" s="71"/>
      <c r="J24" s="71"/>
    </row>
    <row r="25" spans="1:10" ht="45" customHeight="1" x14ac:dyDescent="0.3">
      <c r="A25" s="72" t="s">
        <v>765</v>
      </c>
      <c r="B25" s="72"/>
      <c r="C25" s="72"/>
      <c r="D25" s="72"/>
      <c r="E25" s="72"/>
      <c r="F25" s="72"/>
      <c r="G25" s="72"/>
      <c r="H25" s="72"/>
      <c r="I25" s="72"/>
      <c r="J25" s="72"/>
    </row>
    <row r="26" spans="1:10" ht="48" customHeight="1" x14ac:dyDescent="0.3">
      <c r="A26" s="71" t="s">
        <v>714</v>
      </c>
      <c r="B26" s="71"/>
      <c r="C26" s="71"/>
      <c r="D26" s="71"/>
      <c r="E26" s="71"/>
      <c r="F26" s="71"/>
      <c r="G26" s="71"/>
      <c r="H26" s="71"/>
      <c r="I26" s="71"/>
      <c r="J26" s="71"/>
    </row>
    <row r="27" spans="1:10" x14ac:dyDescent="0.3">
      <c r="A27" s="71"/>
      <c r="B27" s="71"/>
      <c r="C27" s="71"/>
      <c r="D27" s="71"/>
      <c r="E27" s="71"/>
      <c r="F27" s="71"/>
      <c r="G27" s="71"/>
      <c r="H27" s="71"/>
      <c r="I27" s="71"/>
      <c r="J27" s="71"/>
    </row>
    <row r="28" spans="1:10" x14ac:dyDescent="0.3">
      <c r="A28" s="71" t="s">
        <v>705</v>
      </c>
      <c r="B28" s="71"/>
      <c r="C28" s="71"/>
      <c r="D28" s="71"/>
      <c r="E28" s="71"/>
      <c r="F28" s="71"/>
      <c r="G28" s="71"/>
      <c r="H28" s="71"/>
      <c r="I28" s="71"/>
      <c r="J28" s="71"/>
    </row>
    <row r="29" spans="1:10" x14ac:dyDescent="0.3">
      <c r="A29" s="71" t="s">
        <v>715</v>
      </c>
      <c r="B29" s="71"/>
      <c r="C29" s="71"/>
      <c r="D29" s="71"/>
      <c r="E29" s="71"/>
      <c r="F29" s="71"/>
      <c r="G29" s="71"/>
      <c r="H29" s="71"/>
      <c r="I29" s="71"/>
      <c r="J29" s="71"/>
    </row>
    <row r="30" spans="1:10" x14ac:dyDescent="0.3">
      <c r="A30" s="71"/>
      <c r="B30" s="71"/>
      <c r="C30" s="71"/>
      <c r="D30" s="71"/>
      <c r="E30" s="71"/>
      <c r="F30" s="71"/>
      <c r="G30" s="71"/>
      <c r="H30" s="71"/>
      <c r="I30" s="71"/>
      <c r="J30" s="71"/>
    </row>
    <row r="31" spans="1:10" x14ac:dyDescent="0.3">
      <c r="A31" s="71" t="s">
        <v>706</v>
      </c>
      <c r="B31" s="71"/>
      <c r="C31" s="71"/>
      <c r="D31" s="71"/>
      <c r="E31" s="71"/>
      <c r="F31" s="71"/>
      <c r="G31" s="71"/>
      <c r="H31" s="71"/>
      <c r="I31" s="71"/>
      <c r="J31" s="71"/>
    </row>
    <row r="32" spans="1:10" x14ac:dyDescent="0.3">
      <c r="A32" s="73" t="s">
        <v>707</v>
      </c>
      <c r="B32" s="73"/>
      <c r="C32" s="73"/>
      <c r="D32" s="73"/>
      <c r="E32" s="73"/>
      <c r="F32" s="73"/>
      <c r="G32" s="73"/>
      <c r="H32" s="73"/>
      <c r="I32" s="73"/>
      <c r="J32" s="73"/>
    </row>
    <row r="33" spans="1:10" ht="34.5" customHeight="1" x14ac:dyDescent="0.3">
      <c r="A33" s="71" t="s">
        <v>716</v>
      </c>
      <c r="B33" s="71"/>
      <c r="C33" s="71"/>
      <c r="D33" s="71"/>
      <c r="E33" s="71"/>
      <c r="F33" s="71"/>
      <c r="G33" s="71"/>
      <c r="H33" s="71"/>
      <c r="I33" s="71"/>
      <c r="J33" s="71"/>
    </row>
    <row r="34" spans="1:10" x14ac:dyDescent="0.3">
      <c r="A34" s="71"/>
      <c r="B34" s="71"/>
      <c r="C34" s="71"/>
      <c r="D34" s="71"/>
      <c r="E34" s="71"/>
      <c r="F34" s="71"/>
      <c r="G34" s="71"/>
      <c r="H34" s="71"/>
      <c r="I34" s="71"/>
      <c r="J34" s="71"/>
    </row>
    <row r="35" spans="1:10" ht="15" customHeight="1" x14ac:dyDescent="0.3">
      <c r="A35" s="71" t="s">
        <v>708</v>
      </c>
      <c r="B35" s="71"/>
      <c r="C35" s="71"/>
      <c r="D35" s="71"/>
      <c r="E35" s="71"/>
      <c r="F35" s="71"/>
      <c r="G35" s="71"/>
      <c r="H35" s="71"/>
      <c r="I35" s="71"/>
      <c r="J35" s="71"/>
    </row>
    <row r="36" spans="1:10" x14ac:dyDescent="0.3">
      <c r="A36" s="71" t="s">
        <v>772</v>
      </c>
      <c r="B36" s="71"/>
      <c r="C36" s="71"/>
      <c r="D36" s="71"/>
      <c r="E36" s="71"/>
      <c r="F36" s="71"/>
      <c r="G36" s="71"/>
      <c r="H36" s="71"/>
      <c r="I36" s="71"/>
      <c r="J36" s="71"/>
    </row>
  </sheetData>
  <sheetProtection sheet="1" objects="1" scenarios="1"/>
  <mergeCells count="34">
    <mergeCell ref="A15:J15"/>
    <mergeCell ref="A16:J16"/>
    <mergeCell ref="A22:J22"/>
    <mergeCell ref="A28:J28"/>
    <mergeCell ref="A8:J8"/>
    <mergeCell ref="A18:J18"/>
    <mergeCell ref="A19:J19"/>
    <mergeCell ref="A20:J20"/>
    <mergeCell ref="A36:J36"/>
    <mergeCell ref="A3:J3"/>
    <mergeCell ref="A4:J4"/>
    <mergeCell ref="A5:J5"/>
    <mergeCell ref="A6:J6"/>
    <mergeCell ref="A7:J7"/>
    <mergeCell ref="A21:J21"/>
    <mergeCell ref="A9:J9"/>
    <mergeCell ref="A10:J10"/>
    <mergeCell ref="A11:J11"/>
    <mergeCell ref="A12:J12"/>
    <mergeCell ref="A13:J13"/>
    <mergeCell ref="A14:J14"/>
    <mergeCell ref="A17:J17"/>
    <mergeCell ref="A23:J23"/>
    <mergeCell ref="A24:J24"/>
    <mergeCell ref="A35:J35"/>
    <mergeCell ref="A25:J25"/>
    <mergeCell ref="A26:J26"/>
    <mergeCell ref="A27:J27"/>
    <mergeCell ref="A32:J32"/>
    <mergeCell ref="A29:J29"/>
    <mergeCell ref="A30:J30"/>
    <mergeCell ref="A31:J31"/>
    <mergeCell ref="A33:J33"/>
    <mergeCell ref="A34:J34"/>
  </mergeCells>
  <hyperlinks>
    <hyperlink ref="A32" r:id="rId1" xr:uid="{4A2D991B-F0C8-4B49-BCF4-66E7A0488A0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EDA0E-3B8C-4CD8-B81B-8D875BAEA5C4}">
  <dimension ref="A1:D41"/>
  <sheetViews>
    <sheetView workbookViewId="0">
      <selection activeCell="A13" sqref="A13:D13"/>
    </sheetView>
  </sheetViews>
  <sheetFormatPr baseColWidth="10" defaultRowHeight="14.4" x14ac:dyDescent="0.3"/>
  <cols>
    <col min="1" max="4" width="66.44140625" customWidth="1"/>
  </cols>
  <sheetData>
    <row r="1" spans="1:4" ht="21" x14ac:dyDescent="0.4">
      <c r="A1" s="8" t="s">
        <v>664</v>
      </c>
    </row>
    <row r="3" spans="1:4" x14ac:dyDescent="0.3">
      <c r="A3" t="s">
        <v>666</v>
      </c>
    </row>
    <row r="4" spans="1:4" x14ac:dyDescent="0.3">
      <c r="A4" t="s">
        <v>667</v>
      </c>
    </row>
    <row r="5" spans="1:4" x14ac:dyDescent="0.3">
      <c r="A5" t="s">
        <v>668</v>
      </c>
    </row>
    <row r="6" spans="1:4" x14ac:dyDescent="0.3">
      <c r="A6" t="s">
        <v>678</v>
      </c>
    </row>
    <row r="8" spans="1:4" x14ac:dyDescent="0.3">
      <c r="A8" t="s">
        <v>7</v>
      </c>
      <c r="B8" t="s">
        <v>569</v>
      </c>
      <c r="C8" t="s">
        <v>670</v>
      </c>
      <c r="D8" t="s">
        <v>598</v>
      </c>
    </row>
    <row r="9" spans="1:4" x14ac:dyDescent="0.3">
      <c r="A9" t="s">
        <v>756</v>
      </c>
      <c r="B9" t="s">
        <v>756</v>
      </c>
      <c r="C9" t="s">
        <v>756</v>
      </c>
      <c r="D9" t="s">
        <v>756</v>
      </c>
    </row>
    <row r="10" spans="1:4" ht="72" x14ac:dyDescent="0.3">
      <c r="A10" s="52" t="s">
        <v>757</v>
      </c>
      <c r="B10" s="52" t="s">
        <v>758</v>
      </c>
      <c r="C10" s="52" t="s">
        <v>759</v>
      </c>
      <c r="D10" s="52" t="s">
        <v>760</v>
      </c>
    </row>
    <row r="11" spans="1:4" ht="72" x14ac:dyDescent="0.3">
      <c r="A11" s="52" t="s">
        <v>671</v>
      </c>
      <c r="B11" s="52" t="s">
        <v>672</v>
      </c>
      <c r="C11" s="52" t="s">
        <v>673</v>
      </c>
      <c r="D11" s="52" t="s">
        <v>674</v>
      </c>
    </row>
    <row r="12" spans="1:4" ht="28.8" x14ac:dyDescent="0.3">
      <c r="A12" s="52" t="s">
        <v>679</v>
      </c>
      <c r="B12" s="52" t="s">
        <v>679</v>
      </c>
      <c r="C12" s="52" t="s">
        <v>679</v>
      </c>
      <c r="D12" s="52" t="s">
        <v>679</v>
      </c>
    </row>
    <row r="15" spans="1:4" ht="21" x14ac:dyDescent="0.4">
      <c r="A15" s="8" t="s">
        <v>7</v>
      </c>
    </row>
    <row r="17" spans="1:4" x14ac:dyDescent="0.3">
      <c r="B17" t="s">
        <v>684</v>
      </c>
    </row>
    <row r="18" spans="1:4" x14ac:dyDescent="0.3">
      <c r="A18" t="s">
        <v>682</v>
      </c>
      <c r="B18" s="54">
        <v>0.21</v>
      </c>
    </row>
    <row r="19" spans="1:4" x14ac:dyDescent="0.3">
      <c r="A19" t="s">
        <v>681</v>
      </c>
      <c r="B19" s="54">
        <v>0.34</v>
      </c>
    </row>
    <row r="20" spans="1:4" x14ac:dyDescent="0.3">
      <c r="A20" t="s">
        <v>680</v>
      </c>
      <c r="B20" s="54">
        <v>0.34</v>
      </c>
    </row>
    <row r="21" spans="1:4" x14ac:dyDescent="0.3">
      <c r="A21" t="s">
        <v>683</v>
      </c>
      <c r="B21" s="54">
        <v>0.34</v>
      </c>
    </row>
    <row r="25" spans="1:4" ht="21" x14ac:dyDescent="0.4">
      <c r="A25" s="8" t="s">
        <v>569</v>
      </c>
    </row>
    <row r="26" spans="1:4" x14ac:dyDescent="0.3">
      <c r="B26" s="55" t="s">
        <v>686</v>
      </c>
      <c r="C26" s="55" t="s">
        <v>687</v>
      </c>
      <c r="D26" s="55" t="s">
        <v>688</v>
      </c>
    </row>
    <row r="27" spans="1:4" x14ac:dyDescent="0.3">
      <c r="A27" t="s">
        <v>682</v>
      </c>
      <c r="B27" s="1">
        <v>0.33</v>
      </c>
      <c r="C27" s="54">
        <v>0.35</v>
      </c>
      <c r="D27" s="54">
        <v>0.32</v>
      </c>
    </row>
    <row r="28" spans="1:4" x14ac:dyDescent="0.3">
      <c r="A28" t="s">
        <v>681</v>
      </c>
      <c r="B28" s="1">
        <v>0.26</v>
      </c>
      <c r="C28" s="54">
        <v>0.33</v>
      </c>
      <c r="D28" s="54">
        <v>0.41</v>
      </c>
    </row>
    <row r="29" spans="1:4" x14ac:dyDescent="0.3">
      <c r="A29" t="s">
        <v>680</v>
      </c>
      <c r="B29" s="1">
        <v>0.14000000000000001</v>
      </c>
      <c r="C29" s="54">
        <v>0.53</v>
      </c>
      <c r="D29" s="54">
        <v>0.33</v>
      </c>
    </row>
    <row r="30" spans="1:4" x14ac:dyDescent="0.3">
      <c r="A30" t="s">
        <v>683</v>
      </c>
      <c r="B30" s="1">
        <v>0.37</v>
      </c>
      <c r="C30" s="54">
        <v>0.39</v>
      </c>
      <c r="D30" s="54">
        <v>0.24</v>
      </c>
    </row>
    <row r="36" spans="1:3" ht="21" x14ac:dyDescent="0.4">
      <c r="A36" s="8" t="s">
        <v>632</v>
      </c>
    </row>
    <row r="37" spans="1:3" x14ac:dyDescent="0.3">
      <c r="B37" t="s">
        <v>19</v>
      </c>
      <c r="C37" t="s">
        <v>622</v>
      </c>
    </row>
    <row r="38" spans="1:3" x14ac:dyDescent="0.3">
      <c r="A38" t="s">
        <v>682</v>
      </c>
      <c r="B38">
        <v>4</v>
      </c>
      <c r="C38">
        <v>5</v>
      </c>
    </row>
    <row r="39" spans="1:3" x14ac:dyDescent="0.3">
      <c r="A39" t="s">
        <v>681</v>
      </c>
      <c r="B39">
        <v>3</v>
      </c>
      <c r="C39">
        <v>5</v>
      </c>
    </row>
    <row r="40" spans="1:3" x14ac:dyDescent="0.3">
      <c r="A40" t="s">
        <v>680</v>
      </c>
      <c r="B40">
        <v>2</v>
      </c>
      <c r="C40">
        <v>15</v>
      </c>
    </row>
    <row r="41" spans="1:3" x14ac:dyDescent="0.3">
      <c r="A41" t="s">
        <v>683</v>
      </c>
      <c r="B41">
        <v>2</v>
      </c>
      <c r="C41">
        <v>15</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41AAE-1B52-4728-A373-E3ED00133E75}">
  <dimension ref="A1:C16"/>
  <sheetViews>
    <sheetView workbookViewId="0">
      <selection activeCell="B1" sqref="B1"/>
    </sheetView>
  </sheetViews>
  <sheetFormatPr baseColWidth="10" defaultColWidth="11.44140625" defaultRowHeight="18" x14ac:dyDescent="0.35"/>
  <cols>
    <col min="1" max="1" width="25.44140625" style="20" bestFit="1" customWidth="1"/>
    <col min="2" max="2" width="33.109375" style="20" customWidth="1"/>
    <col min="3" max="16384" width="11.44140625" style="20"/>
  </cols>
  <sheetData>
    <row r="1" spans="1:3" x14ac:dyDescent="0.35">
      <c r="A1" s="24" t="s">
        <v>0</v>
      </c>
      <c r="B1" s="33"/>
    </row>
    <row r="2" spans="1:3" x14ac:dyDescent="0.35">
      <c r="A2" s="24"/>
      <c r="B2" s="24"/>
    </row>
    <row r="3" spans="1:3" x14ac:dyDescent="0.35">
      <c r="A3" s="24" t="s">
        <v>2</v>
      </c>
      <c r="B3" s="24" t="str">
        <f>_xlfn.IFNA(VLOOKUP($B$1,'Données communes'!$A:$J,2,FALSE),"")</f>
        <v/>
      </c>
    </row>
    <row r="4" spans="1:3" x14ac:dyDescent="0.35">
      <c r="A4" s="24"/>
      <c r="B4" s="24"/>
    </row>
    <row r="5" spans="1:3" x14ac:dyDescent="0.35">
      <c r="A5" s="24" t="s">
        <v>3</v>
      </c>
      <c r="B5" s="24" t="str">
        <f>_xlfn.IFNA(VLOOKUP($B$1,'Données communes'!$A:$J,3,FALSE),"")</f>
        <v/>
      </c>
    </row>
    <row r="6" spans="1:3" x14ac:dyDescent="0.35">
      <c r="A6" s="24"/>
      <c r="B6" s="24"/>
    </row>
    <row r="7" spans="1:3" x14ac:dyDescent="0.35">
      <c r="A7" s="24" t="s">
        <v>4</v>
      </c>
      <c r="B7" s="25" t="str">
        <f>_xlfn.IFNA(VLOOKUP($B$1,'Données communes'!$A:$J,4,FALSE),"")</f>
        <v/>
      </c>
      <c r="C7" s="38"/>
    </row>
    <row r="8" spans="1:3" x14ac:dyDescent="0.35">
      <c r="A8" s="24"/>
      <c r="B8" s="25"/>
    </row>
    <row r="9" spans="1:3" x14ac:dyDescent="0.35">
      <c r="A9" s="24" t="s">
        <v>5</v>
      </c>
      <c r="B9" s="25" t="str">
        <f>_xlfn.IFNA(VLOOKUP($B$1,'Données communes'!$A:$J,5,FALSE),"")</f>
        <v/>
      </c>
      <c r="C9" s="38"/>
    </row>
    <row r="10" spans="1:3" x14ac:dyDescent="0.35">
      <c r="A10" s="24"/>
      <c r="B10" s="25"/>
    </row>
    <row r="11" spans="1:3" x14ac:dyDescent="0.35">
      <c r="A11" s="24" t="s">
        <v>6</v>
      </c>
      <c r="B11" s="25" t="str">
        <f>_xlfn.IFNA(ROUND(VLOOKUP($B$1,'Données communes'!$A:$J,6,FALSE),0),"")</f>
        <v/>
      </c>
      <c r="C11" s="38"/>
    </row>
    <row r="14" spans="1:3" x14ac:dyDescent="0.35">
      <c r="A14" s="49" t="s">
        <v>560</v>
      </c>
    </row>
    <row r="15" spans="1:3" ht="34.5" customHeight="1" x14ac:dyDescent="0.35">
      <c r="A15" s="79" t="s">
        <v>564</v>
      </c>
      <c r="B15" s="79"/>
    </row>
    <row r="16" spans="1:3" ht="78.75" customHeight="1" x14ac:dyDescent="0.35">
      <c r="A16" s="80" t="s">
        <v>565</v>
      </c>
      <c r="B16" s="80"/>
    </row>
  </sheetData>
  <sheetProtection sheet="1" objects="1" scenarios="1"/>
  <mergeCells count="2">
    <mergeCell ref="A15:B15"/>
    <mergeCell ref="A16:B1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D06A473-759E-4764-B2A1-22BF75393CD1}">
          <x14:formula1>
            <xm:f>'Données communes'!$A$2:$A$262</xm:f>
          </x14:formula1>
          <xm:sqref>B1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5A316-940C-4EE7-8935-0493A7BF9257}">
  <dimension ref="A1:M61"/>
  <sheetViews>
    <sheetView workbookViewId="0">
      <selection activeCell="A10" sqref="A10:D11"/>
    </sheetView>
  </sheetViews>
  <sheetFormatPr baseColWidth="10" defaultColWidth="11.44140625" defaultRowHeight="14.4" x14ac:dyDescent="0.3"/>
  <cols>
    <col min="1" max="1" width="23.109375" style="2" customWidth="1"/>
    <col min="2" max="2" width="12.44140625" style="2" bestFit="1" customWidth="1"/>
    <col min="3" max="3" width="16.88671875" style="2" customWidth="1"/>
    <col min="4" max="4" width="35.6640625" style="2" customWidth="1"/>
    <col min="5" max="5" width="70.6640625" style="2" customWidth="1"/>
    <col min="6" max="16384" width="11.44140625" style="2"/>
  </cols>
  <sheetData>
    <row r="1" spans="1:5" ht="31.2" x14ac:dyDescent="0.6">
      <c r="A1" s="7" t="s">
        <v>7</v>
      </c>
    </row>
    <row r="3" spans="1:5" ht="21" x14ac:dyDescent="0.4">
      <c r="A3" s="8" t="s">
        <v>8</v>
      </c>
    </row>
    <row r="4" spans="1:5" ht="46.5" customHeight="1" x14ac:dyDescent="0.3">
      <c r="A4" s="80" t="s">
        <v>559</v>
      </c>
      <c r="B4" s="80"/>
      <c r="C4" s="80"/>
      <c r="D4" s="80"/>
    </row>
    <row r="5" spans="1:5" ht="35.25" customHeight="1" x14ac:dyDescent="0.3">
      <c r="A5" s="80" t="s">
        <v>9</v>
      </c>
      <c r="B5" s="80"/>
      <c r="C5" s="80"/>
      <c r="D5" s="80"/>
    </row>
    <row r="7" spans="1:5" ht="21" x14ac:dyDescent="0.4">
      <c r="A7" s="8" t="s">
        <v>747</v>
      </c>
    </row>
    <row r="9" spans="1:5" x14ac:dyDescent="0.3">
      <c r="A9" s="82" t="s">
        <v>665</v>
      </c>
      <c r="B9" s="82"/>
      <c r="C9" s="82"/>
      <c r="D9" s="82"/>
      <c r="E9" s="64" t="s">
        <v>754</v>
      </c>
    </row>
    <row r="10" spans="1:5" x14ac:dyDescent="0.3">
      <c r="A10" s="84"/>
      <c r="B10" s="85"/>
      <c r="C10" s="85"/>
      <c r="D10" s="86"/>
      <c r="E10" s="81"/>
    </row>
    <row r="11" spans="1:5" x14ac:dyDescent="0.3">
      <c r="A11" s="87"/>
      <c r="B11" s="88"/>
      <c r="C11" s="88"/>
      <c r="D11" s="89"/>
      <c r="E11" s="81"/>
    </row>
    <row r="12" spans="1:5" ht="80.25" customHeight="1" x14ac:dyDescent="0.3">
      <c r="A12" s="93" t="str">
        <f>IF(A10=Paramètres!$A$3,Paramètres!$A$9,IF(A10=Paramètres!$A$4,Paramètres!$A$10,IF(A10=Paramètres!$A$5,Paramètres!$A$11,IF(A10=Paramètres!$A$6,Paramètres!$A$12,""))))</f>
        <v/>
      </c>
      <c r="B12" s="93"/>
      <c r="C12" s="93"/>
      <c r="D12" s="93"/>
      <c r="E12" s="81"/>
    </row>
    <row r="15" spans="1:5" ht="21" x14ac:dyDescent="0.4">
      <c r="A15" s="8" t="s">
        <v>748</v>
      </c>
    </row>
    <row r="17" spans="1:13" ht="33.75" customHeight="1" x14ac:dyDescent="0.3">
      <c r="A17" s="80" t="s">
        <v>11</v>
      </c>
      <c r="B17" s="80"/>
      <c r="C17" s="80"/>
      <c r="D17" s="80"/>
    </row>
    <row r="18" spans="1:13" ht="33.75" customHeight="1" x14ac:dyDescent="0.3">
      <c r="A18" s="80" t="s">
        <v>557</v>
      </c>
      <c r="B18" s="80"/>
      <c r="C18" s="80"/>
      <c r="D18" s="80"/>
    </row>
    <row r="19" spans="1:13" ht="33" customHeight="1" x14ac:dyDescent="0.3">
      <c r="A19" s="80" t="s">
        <v>12</v>
      </c>
      <c r="B19" s="80"/>
      <c r="C19" s="80"/>
      <c r="D19" s="80"/>
    </row>
    <row r="20" spans="1:13" ht="78" customHeight="1" x14ac:dyDescent="0.3">
      <c r="A20" s="92" t="s">
        <v>761</v>
      </c>
      <c r="B20" s="92"/>
      <c r="C20" s="92"/>
      <c r="D20" s="92"/>
    </row>
    <row r="21" spans="1:13" ht="47.25" customHeight="1" x14ac:dyDescent="0.3">
      <c r="A21" s="80" t="s">
        <v>719</v>
      </c>
      <c r="B21" s="80"/>
      <c r="C21" s="80"/>
      <c r="D21" s="80"/>
    </row>
    <row r="22" spans="1:13" ht="95.25" customHeight="1" x14ac:dyDescent="0.3">
      <c r="A22" s="80" t="s">
        <v>558</v>
      </c>
      <c r="B22" s="80"/>
      <c r="C22" s="80"/>
      <c r="D22" s="80"/>
    </row>
    <row r="24" spans="1:13" x14ac:dyDescent="0.3">
      <c r="A24" s="2" t="s">
        <v>13</v>
      </c>
    </row>
    <row r="25" spans="1:13" x14ac:dyDescent="0.3">
      <c r="A25" s="35" t="s">
        <v>721</v>
      </c>
      <c r="I25" s="19"/>
      <c r="J25" s="19"/>
      <c r="K25" s="19"/>
      <c r="L25" s="19"/>
      <c r="M25" s="19"/>
    </row>
    <row r="27" spans="1:13" x14ac:dyDescent="0.3">
      <c r="A27" s="62" t="s">
        <v>14</v>
      </c>
      <c r="B27" s="62" t="s">
        <v>15</v>
      </c>
      <c r="C27" s="62" t="s">
        <v>16</v>
      </c>
      <c r="D27" s="62" t="s">
        <v>17</v>
      </c>
      <c r="E27" s="64" t="s">
        <v>754</v>
      </c>
    </row>
    <row r="28" spans="1:13" x14ac:dyDescent="0.3">
      <c r="A28" s="4">
        <v>0</v>
      </c>
      <c r="B28" s="36"/>
      <c r="C28" s="37"/>
      <c r="D28" s="3" t="str">
        <f t="shared" ref="D28:D38" si="0">IF(COUNTBLANK(A28:C28)=3,"",IF(A28="","Complétez la fréquence annuelle",IF(AND($A$25="%",$A28&lt;&gt;"",B28=""),"Complétez le % de voiries",IF(AND($A$25="Km",$A28&lt;&gt;"",C28=""),"Complétez les km de voirie","OK"))))</f>
        <v>Complétez le % de voiries</v>
      </c>
      <c r="E28" s="81"/>
      <c r="G28" s="5"/>
    </row>
    <row r="29" spans="1:13" x14ac:dyDescent="0.3">
      <c r="A29" s="35"/>
      <c r="B29" s="36"/>
      <c r="C29" s="37"/>
      <c r="D29" s="3" t="str">
        <f t="shared" si="0"/>
        <v/>
      </c>
      <c r="E29" s="81"/>
      <c r="G29" s="5"/>
    </row>
    <row r="30" spans="1:13" x14ac:dyDescent="0.3">
      <c r="A30" s="35"/>
      <c r="B30" s="36"/>
      <c r="C30" s="37"/>
      <c r="D30" s="3" t="str">
        <f t="shared" si="0"/>
        <v/>
      </c>
      <c r="E30" s="81"/>
      <c r="G30" s="5"/>
    </row>
    <row r="31" spans="1:13" x14ac:dyDescent="0.3">
      <c r="A31" s="35"/>
      <c r="B31" s="36"/>
      <c r="C31" s="37"/>
      <c r="D31" s="3" t="str">
        <f t="shared" si="0"/>
        <v/>
      </c>
      <c r="E31" s="81"/>
      <c r="G31" s="5"/>
    </row>
    <row r="32" spans="1:13" x14ac:dyDescent="0.3">
      <c r="A32" s="35"/>
      <c r="B32" s="36"/>
      <c r="C32" s="37"/>
      <c r="D32" s="3" t="str">
        <f t="shared" si="0"/>
        <v/>
      </c>
      <c r="E32" s="81"/>
      <c r="G32" s="5"/>
    </row>
    <row r="33" spans="1:7" x14ac:dyDescent="0.3">
      <c r="A33" s="35"/>
      <c r="B33" s="36"/>
      <c r="C33" s="37"/>
      <c r="D33" s="3" t="str">
        <f t="shared" si="0"/>
        <v/>
      </c>
      <c r="E33" s="81"/>
      <c r="G33" s="5"/>
    </row>
    <row r="34" spans="1:7" x14ac:dyDescent="0.3">
      <c r="A34" s="35"/>
      <c r="B34" s="36"/>
      <c r="C34" s="37"/>
      <c r="D34" s="3" t="str">
        <f t="shared" si="0"/>
        <v/>
      </c>
      <c r="E34" s="81"/>
      <c r="G34" s="5"/>
    </row>
    <row r="35" spans="1:7" x14ac:dyDescent="0.3">
      <c r="A35" s="35"/>
      <c r="B35" s="36"/>
      <c r="C35" s="37"/>
      <c r="D35" s="3" t="str">
        <f t="shared" si="0"/>
        <v/>
      </c>
      <c r="E35" s="81"/>
      <c r="G35" s="5"/>
    </row>
    <row r="36" spans="1:7" x14ac:dyDescent="0.3">
      <c r="A36" s="35"/>
      <c r="B36" s="36"/>
      <c r="C36" s="37"/>
      <c r="D36" s="3" t="str">
        <f t="shared" si="0"/>
        <v/>
      </c>
      <c r="E36" s="81"/>
      <c r="G36" s="5"/>
    </row>
    <row r="37" spans="1:7" x14ac:dyDescent="0.3">
      <c r="A37" s="35"/>
      <c r="B37" s="36"/>
      <c r="C37" s="37"/>
      <c r="D37" s="3" t="str">
        <f t="shared" si="0"/>
        <v/>
      </c>
      <c r="E37" s="81"/>
      <c r="G37" s="5"/>
    </row>
    <row r="38" spans="1:7" x14ac:dyDescent="0.3">
      <c r="A38" s="35"/>
      <c r="B38" s="36"/>
      <c r="C38" s="37"/>
      <c r="D38" s="3" t="str">
        <f t="shared" si="0"/>
        <v/>
      </c>
      <c r="E38" s="81"/>
      <c r="G38" s="5"/>
    </row>
    <row r="39" spans="1:7" ht="31.5" customHeight="1" x14ac:dyDescent="0.3">
      <c r="A39" s="61" t="s">
        <v>18</v>
      </c>
      <c r="B39" s="57">
        <f>SUM(B28:B38)</f>
        <v>0</v>
      </c>
      <c r="C39" s="39">
        <f>SUM(C28:C38)</f>
        <v>0</v>
      </c>
      <c r="D39" s="63" t="str">
        <f>IF(AND($A$25="%",B39&lt;&gt;100%),"Complétez de façon à que la somme des % fasse 100%",IF(AND($A$25="km",C39&lt;&gt;Signalétique!$B$11),"Complétez de façon à ce que la somme des km fasse "&amp;FIXED(Signalétique!B11,0)&amp;" Km","OK"))</f>
        <v>Complétez de façon à que la somme des % fasse 100%</v>
      </c>
      <c r="E39" s="81"/>
    </row>
    <row r="42" spans="1:7" ht="21" x14ac:dyDescent="0.4">
      <c r="A42" s="8" t="s">
        <v>561</v>
      </c>
    </row>
    <row r="43" spans="1:7" ht="21" x14ac:dyDescent="0.4">
      <c r="A43" s="8"/>
    </row>
    <row r="44" spans="1:7" x14ac:dyDescent="0.3">
      <c r="A44" s="90"/>
      <c r="B44" s="90"/>
      <c r="C44" s="90"/>
      <c r="D44" s="64" t="s">
        <v>19</v>
      </c>
      <c r="E44" s="66" t="s">
        <v>754</v>
      </c>
    </row>
    <row r="45" spans="1:7" ht="47.25" customHeight="1" x14ac:dyDescent="0.3">
      <c r="A45" s="91" t="s">
        <v>562</v>
      </c>
      <c r="B45" s="91"/>
      <c r="C45" s="91"/>
      <c r="D45" s="37">
        <v>10</v>
      </c>
      <c r="E45" s="65"/>
    </row>
    <row r="46" spans="1:7" ht="57" customHeight="1" x14ac:dyDescent="0.3">
      <c r="A46" s="91" t="s">
        <v>20</v>
      </c>
      <c r="B46" s="91"/>
      <c r="C46" s="91"/>
      <c r="D46" s="37">
        <v>10</v>
      </c>
      <c r="E46" s="65"/>
    </row>
    <row r="48" spans="1:7" ht="21" x14ac:dyDescent="0.4">
      <c r="A48" s="8" t="s">
        <v>749</v>
      </c>
    </row>
    <row r="50" spans="1:5" x14ac:dyDescent="0.3">
      <c r="A50" s="83"/>
      <c r="B50" s="83"/>
      <c r="C50" s="83"/>
      <c r="D50" s="64" t="s">
        <v>721</v>
      </c>
      <c r="E50" s="64" t="s">
        <v>754</v>
      </c>
    </row>
    <row r="51" spans="1:5" ht="35.25" customHeight="1" x14ac:dyDescent="0.3">
      <c r="A51" s="91" t="s">
        <v>21</v>
      </c>
      <c r="B51" s="91"/>
      <c r="C51" s="91"/>
      <c r="D51" s="36"/>
      <c r="E51" s="65"/>
    </row>
    <row r="52" spans="1:5" ht="49.5" customHeight="1" x14ac:dyDescent="0.3">
      <c r="A52" s="91" t="s">
        <v>563</v>
      </c>
      <c r="B52" s="91"/>
      <c r="C52" s="91"/>
      <c r="D52" s="31" t="str">
        <f>IF(D51="","",1-D51)</f>
        <v/>
      </c>
      <c r="E52" s="65"/>
    </row>
    <row r="53" spans="1:5" x14ac:dyDescent="0.3">
      <c r="A53" s="91" t="s">
        <v>22</v>
      </c>
      <c r="B53" s="91"/>
      <c r="C53" s="91"/>
      <c r="D53" s="31" t="str">
        <f>IF(COUNTBLANK(D51:D52)=2,"",SUM(D51:D52))</f>
        <v/>
      </c>
      <c r="E53" s="3"/>
    </row>
    <row r="56" spans="1:5" ht="21" x14ac:dyDescent="0.4">
      <c r="A56" s="8" t="s">
        <v>566</v>
      </c>
    </row>
    <row r="58" spans="1:5" x14ac:dyDescent="0.3">
      <c r="A58" s="90"/>
      <c r="B58" s="90"/>
      <c r="C58" s="90"/>
      <c r="D58" s="64" t="s">
        <v>19</v>
      </c>
      <c r="E58" s="64" t="s">
        <v>754</v>
      </c>
    </row>
    <row r="59" spans="1:5" ht="81" customHeight="1" x14ac:dyDescent="0.3">
      <c r="A59" s="91" t="s">
        <v>567</v>
      </c>
      <c r="B59" s="91"/>
      <c r="C59" s="91"/>
      <c r="D59" s="37">
        <v>20</v>
      </c>
      <c r="E59" s="65"/>
    </row>
    <row r="60" spans="1:5" ht="82.5" customHeight="1" x14ac:dyDescent="0.3">
      <c r="A60" s="91" t="s">
        <v>568</v>
      </c>
      <c r="B60" s="91"/>
      <c r="C60" s="91"/>
      <c r="D60" s="37">
        <v>20</v>
      </c>
      <c r="E60" s="65"/>
    </row>
    <row r="61" spans="1:5" x14ac:dyDescent="0.3">
      <c r="A61" s="91" t="s">
        <v>23</v>
      </c>
      <c r="B61" s="91"/>
      <c r="C61" s="91"/>
      <c r="D61" s="4">
        <f>IF(COUNTBLANK(D59:D60)&gt;1,"",IF(OR(COUNTBLANK(D51:D52)&gt;0,COUNTBLANK(D59:D60)=1),AVERAGE(D59:D60),SUMPRODUCT(D59:D60,D51:D52)))</f>
        <v>20</v>
      </c>
      <c r="E61" s="3"/>
    </row>
  </sheetData>
  <sheetProtection sheet="1" objects="1" scenarios="1"/>
  <mergeCells count="24">
    <mergeCell ref="A4:D4"/>
    <mergeCell ref="A5:D5"/>
    <mergeCell ref="A17:D17"/>
    <mergeCell ref="A18:D18"/>
    <mergeCell ref="A19:D19"/>
    <mergeCell ref="A12:D12"/>
    <mergeCell ref="A61:C61"/>
    <mergeCell ref="A45:C45"/>
    <mergeCell ref="A46:C46"/>
    <mergeCell ref="A20:D20"/>
    <mergeCell ref="A21:D21"/>
    <mergeCell ref="A22:D22"/>
    <mergeCell ref="A51:C51"/>
    <mergeCell ref="A52:C52"/>
    <mergeCell ref="A53:C53"/>
    <mergeCell ref="A59:C59"/>
    <mergeCell ref="A60:C60"/>
    <mergeCell ref="A58:C58"/>
    <mergeCell ref="E10:E12"/>
    <mergeCell ref="A9:D9"/>
    <mergeCell ref="E28:E39"/>
    <mergeCell ref="A50:C50"/>
    <mergeCell ref="A10:D11"/>
    <mergeCell ref="A44:C44"/>
  </mergeCells>
  <conditionalFormatting sqref="A15:E61">
    <cfRule type="expression" dxfId="49" priority="1" stopIfTrue="1">
      <formula>$A$10=""</formula>
    </cfRule>
  </conditionalFormatting>
  <conditionalFormatting sqref="B28:B39">
    <cfRule type="expression" dxfId="46" priority="5">
      <formula>$A$25="Km"</formula>
    </cfRule>
  </conditionalFormatting>
  <conditionalFormatting sqref="B39">
    <cfRule type="expression" dxfId="45" priority="4">
      <formula>AND($B$39&lt;&gt;100%,$A$25="%")</formula>
    </cfRule>
  </conditionalFormatting>
  <conditionalFormatting sqref="C28:C39">
    <cfRule type="expression" dxfId="44" priority="3">
      <formula>$A$25="%"</formula>
    </cfRule>
  </conditionalFormatting>
  <conditionalFormatting sqref="C39">
    <cfRule type="expression" dxfId="43" priority="6">
      <formula>AND($D$39&lt;&gt;"OK",$A$25="Km")</formula>
    </cfRule>
  </conditionalFormatting>
  <dataValidations count="5">
    <dataValidation type="list" showInputMessage="1" showErrorMessage="1" sqref="A25" xr:uid="{D421C9DD-714B-4D0C-A916-7352488CF237}">
      <formula1>"%, Km"</formula1>
    </dataValidation>
    <dataValidation type="whole" operator="greaterThan" allowBlank="1" showInputMessage="1" showErrorMessage="1" errorTitle="Fréquence annuelle de balayage" error="Uniquement un nombre entier strictement positif" sqref="A29:A38" xr:uid="{BFD66631-FB27-4E2B-87FB-2D063B3C2517}">
      <formula1>0</formula1>
    </dataValidation>
    <dataValidation type="whole" operator="greaterThanOrEqual" allowBlank="1" showInputMessage="1" showErrorMessage="1" errorTitle="Nombre entier" error="Vous devez encoder un nombre entier supérieur ou égal à 0." sqref="D59:D60 D45:D46 C28" xr:uid="{4C6D8E62-9EAD-4999-934B-BA92A95849BC}">
      <formula1>0</formula1>
    </dataValidation>
    <dataValidation type="decimal" allowBlank="1" showInputMessage="1" showErrorMessage="1" errorTitle="% attendu" error="Veuillez encoder un pourcentage compris entre 0% et 100%" sqref="B28:B38 D51" xr:uid="{610DD357-3E37-4521-B08B-8048AD84D157}">
      <formula1>0</formula1>
      <formula2>1</formula2>
    </dataValidation>
    <dataValidation type="whole" operator="greaterThan" allowBlank="1" showInputMessage="1" showErrorMessage="1" errorTitle="Nombre entier" error="Vous devez encoder un nombre entier supérieur 0." sqref="C29:C38" xr:uid="{354D9376-19DA-4044-8E39-B976748FB142}">
      <formula1>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EF9FED4E-B3C1-4F5F-873D-894A25405774}">
            <xm:f>$A$10=Paramètres!$A$6</xm:f>
            <x14:dxf>
              <fill>
                <patternFill>
                  <bgColor theme="0" tint="-0.499984740745262"/>
                </patternFill>
              </fill>
            </x14:dxf>
          </x14:cfRule>
          <xm:sqref>A42:D48 A49:C49 A50 D50 A51:D61</xm:sqref>
        </x14:conditionalFormatting>
        <x14:conditionalFormatting xmlns:xm="http://schemas.microsoft.com/office/excel/2006/main">
          <x14:cfRule type="expression" priority="2" id="{DC542ADB-68F9-4579-BBCD-361E73BA8243}">
            <xm:f>$A$10=Paramètres!$A$6</xm:f>
            <x14:dxf>
              <fill>
                <patternFill>
                  <bgColor theme="0" tint="-0.499984740745262"/>
                </patternFill>
              </fill>
            </x14:dxf>
          </x14:cfRule>
          <xm:sqref>A15:E61</xm:sqref>
        </x14:conditionalFormatting>
        <x14:conditionalFormatting xmlns:xm="http://schemas.microsoft.com/office/excel/2006/main">
          <x14:cfRule type="expression" priority="8" id="{B6DEBEEC-2A16-4449-A45C-01A60C248883}">
            <xm:f>$A$10=Paramètres!$A$4</xm:f>
            <x14:dxf>
              <fill>
                <patternFill>
                  <bgColor theme="0" tint="-0.499984740745262"/>
                </patternFill>
              </fill>
            </x14:dxf>
          </x14:cfRule>
          <xm:sqref>A42:E61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CCE8E62-5FF1-4223-9679-C23FB8A6252B}">
          <x14:formula1>
            <xm:f>Paramètres!$A$3:$A$6</xm:f>
          </x14:formula1>
          <xm:sqref>A10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E9B82-D312-4351-8870-4AE0B985D691}">
  <dimension ref="A1:M74"/>
  <sheetViews>
    <sheetView workbookViewId="0">
      <selection activeCell="A12" sqref="A12:D13"/>
    </sheetView>
  </sheetViews>
  <sheetFormatPr baseColWidth="10" defaultColWidth="11.44140625" defaultRowHeight="14.4" x14ac:dyDescent="0.3"/>
  <cols>
    <col min="1" max="1" width="23.109375" style="2" customWidth="1"/>
    <col min="2" max="3" width="16.88671875" style="2" customWidth="1"/>
    <col min="4" max="4" width="35.6640625" style="2" customWidth="1"/>
    <col min="5" max="5" width="70.6640625" style="2" customWidth="1"/>
    <col min="6" max="16384" width="11.44140625" style="2"/>
  </cols>
  <sheetData>
    <row r="1" spans="1:5" ht="31.2" x14ac:dyDescent="0.6">
      <c r="A1" s="7" t="s">
        <v>569</v>
      </c>
    </row>
    <row r="3" spans="1:5" ht="21" x14ac:dyDescent="0.4">
      <c r="A3" s="8" t="s">
        <v>8</v>
      </c>
    </row>
    <row r="4" spans="1:5" ht="53.25" customHeight="1" x14ac:dyDescent="0.3">
      <c r="A4" s="80" t="s">
        <v>592</v>
      </c>
      <c r="B4" s="80"/>
      <c r="C4" s="80"/>
      <c r="D4" s="80"/>
    </row>
    <row r="5" spans="1:5" ht="64.5" customHeight="1" x14ac:dyDescent="0.3">
      <c r="A5" s="80" t="s">
        <v>595</v>
      </c>
      <c r="B5" s="80"/>
      <c r="C5" s="80"/>
      <c r="D5" s="80"/>
    </row>
    <row r="6" spans="1:5" ht="34.5" customHeight="1" x14ac:dyDescent="0.3">
      <c r="A6" s="80" t="s">
        <v>570</v>
      </c>
      <c r="B6" s="80"/>
      <c r="C6" s="80"/>
      <c r="D6" s="80"/>
    </row>
    <row r="7" spans="1:5" ht="32.25" customHeight="1" x14ac:dyDescent="0.3">
      <c r="A7" s="80" t="s">
        <v>593</v>
      </c>
      <c r="B7" s="80"/>
      <c r="C7" s="80"/>
      <c r="D7" s="80"/>
    </row>
    <row r="8" spans="1:5" x14ac:dyDescent="0.3">
      <c r="A8" s="50"/>
      <c r="B8" s="50"/>
      <c r="C8" s="50"/>
      <c r="D8" s="50"/>
    </row>
    <row r="9" spans="1:5" ht="21" x14ac:dyDescent="0.4">
      <c r="A9" s="8" t="s">
        <v>747</v>
      </c>
    </row>
    <row r="11" spans="1:5" x14ac:dyDescent="0.3">
      <c r="A11" s="2" t="s">
        <v>676</v>
      </c>
      <c r="E11" s="64" t="s">
        <v>754</v>
      </c>
    </row>
    <row r="12" spans="1:5" x14ac:dyDescent="0.3">
      <c r="A12" s="97"/>
      <c r="B12" s="97"/>
      <c r="C12" s="97"/>
      <c r="D12" s="97"/>
      <c r="E12" s="95"/>
    </row>
    <row r="13" spans="1:5" ht="33" customHeight="1" x14ac:dyDescent="0.3">
      <c r="A13" s="97"/>
      <c r="B13" s="97"/>
      <c r="C13" s="97"/>
      <c r="D13" s="97"/>
      <c r="E13" s="95"/>
    </row>
    <row r="14" spans="1:5" ht="81" customHeight="1" x14ac:dyDescent="0.3">
      <c r="A14" s="93" t="str">
        <f>IF(A12=Paramètres!$A$3,Paramètres!$B$9,IF(A12=Paramètres!$A$4,Paramètres!$B$10,IF(A12=Paramètres!$A$5,Paramètres!$B$11,IF(A12=Paramètres!$A$6,Paramètres!$B$12,""))))</f>
        <v/>
      </c>
      <c r="B14" s="93"/>
      <c r="C14" s="93"/>
      <c r="D14" s="93"/>
      <c r="E14" s="95"/>
    </row>
    <row r="17" spans="1:13" ht="21" x14ac:dyDescent="0.4">
      <c r="A17" s="8" t="s">
        <v>748</v>
      </c>
    </row>
    <row r="19" spans="1:13" ht="34.5" customHeight="1" x14ac:dyDescent="0.3">
      <c r="A19" s="80" t="s">
        <v>571</v>
      </c>
      <c r="B19" s="80"/>
      <c r="C19" s="80"/>
      <c r="D19" s="80"/>
      <c r="I19" s="19"/>
      <c r="J19" s="19"/>
      <c r="K19" s="19"/>
      <c r="L19" s="19"/>
      <c r="M19" s="19"/>
    </row>
    <row r="20" spans="1:13" ht="34.5" customHeight="1" x14ac:dyDescent="0.3">
      <c r="A20" s="80" t="s">
        <v>557</v>
      </c>
      <c r="B20" s="80"/>
      <c r="C20" s="80"/>
      <c r="D20" s="80"/>
    </row>
    <row r="21" spans="1:13" ht="37.5" customHeight="1" x14ac:dyDescent="0.3">
      <c r="A21" s="80" t="s">
        <v>12</v>
      </c>
      <c r="B21" s="80"/>
      <c r="C21" s="80"/>
      <c r="D21" s="80"/>
    </row>
    <row r="22" spans="1:13" ht="80.25" customHeight="1" x14ac:dyDescent="0.3">
      <c r="A22" s="92" t="s">
        <v>761</v>
      </c>
      <c r="B22" s="92"/>
      <c r="C22" s="92"/>
      <c r="D22" s="92"/>
      <c r="G22" s="5"/>
    </row>
    <row r="23" spans="1:13" ht="84.75" customHeight="1" x14ac:dyDescent="0.3">
      <c r="A23" s="80" t="s">
        <v>720</v>
      </c>
      <c r="B23" s="80"/>
      <c r="C23" s="80"/>
      <c r="D23" s="80"/>
      <c r="G23" s="5"/>
    </row>
    <row r="24" spans="1:13" ht="91.5" customHeight="1" x14ac:dyDescent="0.3">
      <c r="A24" s="80" t="s">
        <v>558</v>
      </c>
      <c r="B24" s="80"/>
      <c r="C24" s="80"/>
      <c r="D24" s="80"/>
      <c r="G24" s="5"/>
    </row>
    <row r="25" spans="1:13" x14ac:dyDescent="0.3">
      <c r="G25" s="5"/>
    </row>
    <row r="26" spans="1:13" x14ac:dyDescent="0.3">
      <c r="A26" s="2" t="s">
        <v>13</v>
      </c>
      <c r="G26" s="5"/>
    </row>
    <row r="27" spans="1:13" x14ac:dyDescent="0.3">
      <c r="A27" s="35" t="s">
        <v>721</v>
      </c>
      <c r="G27" s="5"/>
    </row>
    <row r="28" spans="1:13" x14ac:dyDescent="0.3">
      <c r="G28" s="5"/>
    </row>
    <row r="29" spans="1:13" x14ac:dyDescent="0.3">
      <c r="A29" s="62" t="s">
        <v>14</v>
      </c>
      <c r="B29" s="62" t="s">
        <v>15</v>
      </c>
      <c r="C29" s="62" t="s">
        <v>16</v>
      </c>
      <c r="D29" s="62" t="s">
        <v>17</v>
      </c>
      <c r="E29" s="64" t="s">
        <v>754</v>
      </c>
      <c r="G29" s="5"/>
    </row>
    <row r="30" spans="1:13" x14ac:dyDescent="0.3">
      <c r="A30" s="4">
        <v>0</v>
      </c>
      <c r="B30" s="36"/>
      <c r="C30" s="34"/>
      <c r="D30" s="3" t="str">
        <f t="shared" ref="D30:D40" si="0">IF(COUNTBLANK(A30:C30)=3,"",IF(A30="","Complétez la fréquence annuelle",IF(AND($A$27="%",$A30&lt;&gt;"",B30=""),"Complétez le % de voiries",IF(AND($A$27="Km",$A30&lt;&gt;"",C30=""),"Complétez le km de voirie","OK"))))</f>
        <v>Complétez le % de voiries</v>
      </c>
      <c r="E30" s="81"/>
      <c r="G30" s="5"/>
    </row>
    <row r="31" spans="1:13" x14ac:dyDescent="0.3">
      <c r="A31" s="35"/>
      <c r="B31" s="36"/>
      <c r="C31" s="34"/>
      <c r="D31" s="3" t="str">
        <f t="shared" si="0"/>
        <v/>
      </c>
      <c r="E31" s="81"/>
      <c r="G31" s="5"/>
    </row>
    <row r="32" spans="1:13" x14ac:dyDescent="0.3">
      <c r="A32" s="35"/>
      <c r="B32" s="36"/>
      <c r="C32" s="34"/>
      <c r="D32" s="3" t="str">
        <f t="shared" si="0"/>
        <v/>
      </c>
      <c r="E32" s="81"/>
      <c r="G32" s="5"/>
    </row>
    <row r="33" spans="1:5" x14ac:dyDescent="0.3">
      <c r="A33" s="35"/>
      <c r="B33" s="36"/>
      <c r="C33" s="34"/>
      <c r="D33" s="3" t="str">
        <f t="shared" si="0"/>
        <v/>
      </c>
      <c r="E33" s="81"/>
    </row>
    <row r="34" spans="1:5" x14ac:dyDescent="0.3">
      <c r="A34" s="35"/>
      <c r="B34" s="36"/>
      <c r="C34" s="34"/>
      <c r="D34" s="3" t="str">
        <f t="shared" si="0"/>
        <v/>
      </c>
      <c r="E34" s="81"/>
    </row>
    <row r="35" spans="1:5" x14ac:dyDescent="0.3">
      <c r="A35" s="35"/>
      <c r="B35" s="36"/>
      <c r="C35" s="34"/>
      <c r="D35" s="3" t="str">
        <f t="shared" si="0"/>
        <v/>
      </c>
      <c r="E35" s="81"/>
    </row>
    <row r="36" spans="1:5" x14ac:dyDescent="0.3">
      <c r="A36" s="35"/>
      <c r="B36" s="36"/>
      <c r="C36" s="34"/>
      <c r="D36" s="3" t="str">
        <f t="shared" si="0"/>
        <v/>
      </c>
      <c r="E36" s="81"/>
    </row>
    <row r="37" spans="1:5" x14ac:dyDescent="0.3">
      <c r="A37" s="35"/>
      <c r="B37" s="36"/>
      <c r="C37" s="34"/>
      <c r="D37" s="3" t="str">
        <f t="shared" si="0"/>
        <v/>
      </c>
      <c r="E37" s="81"/>
    </row>
    <row r="38" spans="1:5" x14ac:dyDescent="0.3">
      <c r="A38" s="35"/>
      <c r="B38" s="36"/>
      <c r="C38" s="34"/>
      <c r="D38" s="3" t="str">
        <f t="shared" si="0"/>
        <v/>
      </c>
      <c r="E38" s="81"/>
    </row>
    <row r="39" spans="1:5" x14ac:dyDescent="0.3">
      <c r="A39" s="35"/>
      <c r="B39" s="36"/>
      <c r="C39" s="34"/>
      <c r="D39" s="3" t="str">
        <f t="shared" si="0"/>
        <v/>
      </c>
      <c r="E39" s="81"/>
    </row>
    <row r="40" spans="1:5" x14ac:dyDescent="0.3">
      <c r="A40" s="35"/>
      <c r="B40" s="36"/>
      <c r="C40" s="34"/>
      <c r="D40" s="3" t="str">
        <f t="shared" si="0"/>
        <v/>
      </c>
      <c r="E40" s="81"/>
    </row>
    <row r="41" spans="1:5" ht="28.8" x14ac:dyDescent="0.3">
      <c r="A41" s="61" t="s">
        <v>18</v>
      </c>
      <c r="B41" s="57">
        <f>SUM(B30:B40)</f>
        <v>0</v>
      </c>
      <c r="C41" s="39">
        <f>SUM(C30:C40)</f>
        <v>0</v>
      </c>
      <c r="D41" s="63" t="str">
        <f>IF(AND($A$27="%",B41&lt;&gt;100%),"Complétez de façon à que la somme des % fasse 100%",IF(AND($A$27="km",C41&lt;&gt;Signalétique!$B$11),"Complétez de façon à ce que la somme des km fasse "&amp;FIXED(Signalétique!B11,0)&amp;" Km","OK"))</f>
        <v>Complétez de façon à que la somme des % fasse 100%</v>
      </c>
      <c r="E41" s="81"/>
    </row>
    <row r="44" spans="1:5" ht="21" x14ac:dyDescent="0.4">
      <c r="A44" s="8" t="s">
        <v>561</v>
      </c>
    </row>
    <row r="45" spans="1:5" ht="21" x14ac:dyDescent="0.4">
      <c r="A45" s="8"/>
    </row>
    <row r="46" spans="1:5" ht="20.25" customHeight="1" x14ac:dyDescent="0.3">
      <c r="A46" s="90"/>
      <c r="B46" s="90"/>
      <c r="C46" s="90"/>
      <c r="D46" s="67" t="s">
        <v>19</v>
      </c>
      <c r="E46" s="67" t="s">
        <v>754</v>
      </c>
    </row>
    <row r="47" spans="1:5" ht="51" customHeight="1" x14ac:dyDescent="0.3">
      <c r="A47" s="94" t="s">
        <v>572</v>
      </c>
      <c r="B47" s="94"/>
      <c r="C47" s="94"/>
      <c r="D47" s="37">
        <v>40</v>
      </c>
      <c r="E47" s="65"/>
    </row>
    <row r="48" spans="1:5" ht="76.5" customHeight="1" x14ac:dyDescent="0.3">
      <c r="A48" s="94" t="s">
        <v>594</v>
      </c>
      <c r="B48" s="94"/>
      <c r="C48" s="94"/>
      <c r="D48" s="37">
        <v>55</v>
      </c>
      <c r="E48" s="65"/>
    </row>
    <row r="50" spans="1:5" ht="21" x14ac:dyDescent="0.4">
      <c r="A50" s="8" t="s">
        <v>749</v>
      </c>
    </row>
    <row r="52" spans="1:5" x14ac:dyDescent="0.3">
      <c r="A52" s="96"/>
      <c r="B52" s="96"/>
      <c r="C52" s="96"/>
      <c r="D52" s="64" t="s">
        <v>721</v>
      </c>
      <c r="E52" s="67" t="s">
        <v>754</v>
      </c>
    </row>
    <row r="53" spans="1:5" ht="48.75" customHeight="1" x14ac:dyDescent="0.3">
      <c r="A53" s="94" t="s">
        <v>767</v>
      </c>
      <c r="B53" s="94"/>
      <c r="C53" s="94"/>
      <c r="D53" s="36"/>
      <c r="E53" s="65"/>
    </row>
    <row r="54" spans="1:5" ht="33" customHeight="1" x14ac:dyDescent="0.3">
      <c r="A54" s="94" t="s">
        <v>768</v>
      </c>
      <c r="B54" s="94"/>
      <c r="C54" s="94"/>
      <c r="D54" s="31" t="str">
        <f>IF(D53="","",1-D53)</f>
        <v/>
      </c>
      <c r="E54" s="65"/>
    </row>
    <row r="55" spans="1:5" x14ac:dyDescent="0.3">
      <c r="A55" s="94" t="s">
        <v>653</v>
      </c>
      <c r="B55" s="94"/>
      <c r="C55" s="94"/>
      <c r="D55" s="31" t="str">
        <f>IF(D53="","",SUM(D53:D54))</f>
        <v/>
      </c>
      <c r="E55" s="3"/>
    </row>
    <row r="57" spans="1:5" ht="65.25" customHeight="1" x14ac:dyDescent="0.3">
      <c r="A57" s="94" t="s">
        <v>652</v>
      </c>
      <c r="B57" s="94"/>
      <c r="C57" s="94"/>
      <c r="D57" s="37">
        <v>1</v>
      </c>
      <c r="E57" s="65"/>
    </row>
    <row r="60" spans="1:5" ht="21" x14ac:dyDescent="0.4">
      <c r="A60" s="8" t="s">
        <v>566</v>
      </c>
    </row>
    <row r="62" spans="1:5" x14ac:dyDescent="0.3">
      <c r="A62" s="90"/>
      <c r="B62" s="90"/>
      <c r="C62" s="90"/>
      <c r="D62" s="64" t="s">
        <v>19</v>
      </c>
      <c r="E62" s="67" t="s">
        <v>754</v>
      </c>
    </row>
    <row r="63" spans="1:5" ht="78" customHeight="1" x14ac:dyDescent="0.3">
      <c r="A63" s="94" t="s">
        <v>596</v>
      </c>
      <c r="B63" s="94"/>
      <c r="C63" s="94"/>
      <c r="D63" s="37">
        <v>12</v>
      </c>
      <c r="E63" s="65"/>
    </row>
    <row r="64" spans="1:5" ht="79.5" customHeight="1" x14ac:dyDescent="0.3">
      <c r="A64" s="94" t="s">
        <v>597</v>
      </c>
      <c r="B64" s="94"/>
      <c r="C64" s="94"/>
      <c r="D64" s="37">
        <v>8</v>
      </c>
      <c r="E64" s="65"/>
    </row>
    <row r="65" spans="1:5" x14ac:dyDescent="0.3">
      <c r="A65" s="91"/>
      <c r="B65" s="91"/>
      <c r="C65" s="91"/>
      <c r="D65" s="4">
        <f>IF(COUNTBLANK(D63:D64)&gt;1,"",IF(OR(COUNTBLANK(D53:D54)&gt;0,COUNTBLANK(D63:D64)=1),AVERAGE(D63:D64),SUMPRODUCT(D63:D64,D53:D54)))</f>
        <v>10</v>
      </c>
      <c r="E65" s="3"/>
    </row>
    <row r="68" spans="1:5" ht="21" x14ac:dyDescent="0.4">
      <c r="A68" s="8" t="s">
        <v>750</v>
      </c>
    </row>
    <row r="70" spans="1:5" x14ac:dyDescent="0.3">
      <c r="A70" s="96"/>
      <c r="B70" s="96"/>
      <c r="C70" s="96"/>
      <c r="D70" s="64" t="s">
        <v>721</v>
      </c>
      <c r="E70" s="67" t="s">
        <v>754</v>
      </c>
    </row>
    <row r="71" spans="1:5" ht="51" customHeight="1" x14ac:dyDescent="0.3">
      <c r="A71" s="94" t="s">
        <v>769</v>
      </c>
      <c r="B71" s="94"/>
      <c r="C71" s="94"/>
      <c r="D71" s="36"/>
      <c r="E71" s="65"/>
    </row>
    <row r="72" spans="1:5" ht="51" customHeight="1" x14ac:dyDescent="0.3">
      <c r="A72" s="94" t="s">
        <v>770</v>
      </c>
      <c r="B72" s="94"/>
      <c r="C72" s="94"/>
      <c r="D72" s="36"/>
      <c r="E72" s="65"/>
    </row>
    <row r="73" spans="1:5" ht="36.75" customHeight="1" x14ac:dyDescent="0.3">
      <c r="A73" s="94" t="s">
        <v>771</v>
      </c>
      <c r="B73" s="94"/>
      <c r="C73" s="94"/>
      <c r="D73" s="31" t="str">
        <f>IF(COUNTBLANK(D71:D72)=2,"",1-(D71+D72))</f>
        <v/>
      </c>
      <c r="E73" s="65"/>
    </row>
    <row r="74" spans="1:5" x14ac:dyDescent="0.3">
      <c r="A74" s="91" t="s">
        <v>653</v>
      </c>
      <c r="B74" s="91"/>
      <c r="C74" s="91"/>
      <c r="D74" s="31" t="str">
        <f>IF(COUNTBLANK(D71:D73)=3,"",SUM(D71:D73))</f>
        <v/>
      </c>
      <c r="E74" s="3"/>
    </row>
  </sheetData>
  <sheetProtection sheet="1" objects="1" scenarios="1"/>
  <mergeCells count="31">
    <mergeCell ref="A4:D4"/>
    <mergeCell ref="A5:D5"/>
    <mergeCell ref="A6:D6"/>
    <mergeCell ref="A7:D7"/>
    <mergeCell ref="A19:D19"/>
    <mergeCell ref="A14:D14"/>
    <mergeCell ref="A12:D13"/>
    <mergeCell ref="A73:C73"/>
    <mergeCell ref="A74:C74"/>
    <mergeCell ref="A72:C72"/>
    <mergeCell ref="A62:C62"/>
    <mergeCell ref="A63:C63"/>
    <mergeCell ref="A64:C64"/>
    <mergeCell ref="A65:C65"/>
    <mergeCell ref="A71:C71"/>
    <mergeCell ref="A55:C55"/>
    <mergeCell ref="E12:E14"/>
    <mergeCell ref="E30:E41"/>
    <mergeCell ref="A52:C52"/>
    <mergeCell ref="A70:C70"/>
    <mergeCell ref="A57:C57"/>
    <mergeCell ref="A20:D20"/>
    <mergeCell ref="A21:D21"/>
    <mergeCell ref="A22:D22"/>
    <mergeCell ref="A23:D23"/>
    <mergeCell ref="A24:D24"/>
    <mergeCell ref="A46:C46"/>
    <mergeCell ref="A47:C47"/>
    <mergeCell ref="A48:C48"/>
    <mergeCell ref="A53:C53"/>
    <mergeCell ref="A54:C54"/>
  </mergeCells>
  <conditionalFormatting sqref="A17:E7417 A31:D41 A52 D52:E52 A70 D70:E70">
    <cfRule type="expression" dxfId="40" priority="1">
      <formula>$A$12=""</formula>
    </cfRule>
  </conditionalFormatting>
  <conditionalFormatting sqref="B30:B40">
    <cfRule type="expression" dxfId="37" priority="3">
      <formula>$A$25="Km"</formula>
    </cfRule>
  </conditionalFormatting>
  <conditionalFormatting sqref="B41">
    <cfRule type="expression" dxfId="36" priority="5">
      <formula>$A$27="Km"</formula>
    </cfRule>
    <cfRule type="expression" dxfId="35" priority="9">
      <formula>AND($B$41&lt;&gt;100%,$A$27="%")</formula>
    </cfRule>
  </conditionalFormatting>
  <conditionalFormatting sqref="C30:C41">
    <cfRule type="expression" dxfId="33" priority="12">
      <formula>$A$27="%"</formula>
    </cfRule>
  </conditionalFormatting>
  <conditionalFormatting sqref="C41">
    <cfRule type="expression" dxfId="32" priority="7">
      <formula>AND($D$41&lt;&gt;"OK",$A$27="Km")</formula>
    </cfRule>
  </conditionalFormatting>
  <conditionalFormatting sqref="D73">
    <cfRule type="cellIs" dxfId="29" priority="15" operator="lessThan">
      <formula>0</formula>
    </cfRule>
  </conditionalFormatting>
  <dataValidations count="6">
    <dataValidation type="whole" operator="greaterThanOrEqual" allowBlank="1" showInputMessage="1" showErrorMessage="1" errorTitle="Nombre entier" error="Vous devez encoder un nombre supérieur ou égal à 0" sqref="C30:C40" xr:uid="{1CC0E7C6-023F-49DD-83A0-4DF81F5E976E}">
      <formula1>0</formula1>
    </dataValidation>
    <dataValidation type="whole" operator="greaterThan" allowBlank="1" showInputMessage="1" showErrorMessage="1" errorTitle="Fréquence annuelle de balayage" error="Uniquement un nombre entier strictement positif" sqref="A31:A40" xr:uid="{0D2EC31C-6B36-40D2-AA68-7991F6A3A2AF}">
      <formula1>0</formula1>
    </dataValidation>
    <dataValidation type="list" showInputMessage="1" showErrorMessage="1" sqref="A27" xr:uid="{456B0423-17FC-44F7-8BEB-18B46E071CE6}">
      <formula1>"%, Km"</formula1>
    </dataValidation>
    <dataValidation type="whole" operator="greaterThanOrEqual" allowBlank="1" showInputMessage="1" showErrorMessage="1" errorTitle="Nombre entier attendu" error="La valeur doit être un nombre entier supérieur ou égal à 0_x000a_" sqref="D47:D48 D57 D63:D64" xr:uid="{0A7DCF7E-5945-4BC5-8128-3761359EB481}">
      <formula1>0</formula1>
    </dataValidation>
    <dataValidation type="decimal" allowBlank="1" showInputMessage="1" showErrorMessage="1" errorTitle="% attendu" error="La valeur doit être un % compris entre 0 et 1" sqref="D53 D71:D72" xr:uid="{6997BAEB-7863-4214-8E8B-EA66E4E84A22}">
      <formula1>0</formula1>
      <formula2>1</formula2>
    </dataValidation>
    <dataValidation type="decimal" allowBlank="1" showInputMessage="1" showErrorMessage="1" errorTitle="% attendu" error="Veuillez encoder un pourcentage compris entre 0% et 100%" sqref="B30:B40" xr:uid="{6390C414-7905-4B33-941A-D112AC6CA15B}">
      <formula1>0</formula1>
      <formula2>1</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3" stopIfTrue="1" id="{58ED6275-9D77-427C-B426-67B658F28E96}">
            <xm:f>$A$12=Paramètres!$A$6</xm:f>
            <x14:dxf>
              <fill>
                <patternFill>
                  <bgColor theme="0" tint="-0.499984740745262"/>
                </patternFill>
              </fill>
            </x14:dxf>
          </x14:cfRule>
          <xm:sqref>A65:C65</xm:sqref>
        </x14:conditionalFormatting>
        <x14:conditionalFormatting xmlns:xm="http://schemas.microsoft.com/office/excel/2006/main">
          <x14:cfRule type="expression" priority="4" stopIfTrue="1" id="{BCCA2B1E-B0DF-4A62-8029-C4E9A29D1CEE}">
            <xm:f>$A$12=Paramètres!$A$6</xm:f>
            <x14:dxf>
              <fill>
                <patternFill>
                  <bgColor theme="0" tint="-0.499984740745262"/>
                </patternFill>
              </fill>
            </x14:dxf>
          </x14:cfRule>
          <xm:sqref>A17:E74</xm:sqref>
        </x14:conditionalFormatting>
        <x14:conditionalFormatting xmlns:xm="http://schemas.microsoft.com/office/excel/2006/main">
          <x14:cfRule type="expression" priority="14" stopIfTrue="1" id="{8ACDDD72-59EB-4346-85DA-87196D5DD33A}">
            <xm:f>$A$12=Paramètres!$A$4</xm:f>
            <x14:dxf>
              <fill>
                <patternFill>
                  <bgColor theme="0" tint="-0.499984740745262"/>
                </patternFill>
              </fill>
            </x14:dxf>
          </x14:cfRule>
          <xm:sqref>A44:E74</xm:sqref>
        </x14:conditionalFormatting>
        <x14:conditionalFormatting xmlns:xm="http://schemas.microsoft.com/office/excel/2006/main">
          <x14:cfRule type="expression" priority="2" stopIfTrue="1" id="{D9A4E9F1-18DA-4554-AAB3-A75F3FB84F93}">
            <xm:f>$A$10=Paramètres!$A$6</xm:f>
            <x14:dxf>
              <fill>
                <patternFill>
                  <bgColor theme="0" tint="-0.499984740745262"/>
                </patternFill>
              </fill>
            </x14:dxf>
          </x14:cfRule>
          <xm:sqref>B30:B40</xm:sqref>
        </x14:conditionalFormatting>
        <x14:conditionalFormatting xmlns:xm="http://schemas.microsoft.com/office/excel/2006/main">
          <x14:cfRule type="expression" priority="6" stopIfTrue="1" id="{2B51C358-0D22-4FB0-87AF-5CD2CC09EB8F}">
            <xm:f>$A$12=Paramètres!$A$6</xm:f>
            <x14:dxf>
              <fill>
                <patternFill>
                  <bgColor theme="0" tint="-0.499984740745262"/>
                </patternFill>
              </fill>
            </x14:dxf>
          </x14:cfRule>
          <xm:sqref>B41:C41</xm:sqref>
        </x14:conditionalFormatting>
        <x14:conditionalFormatting xmlns:xm="http://schemas.microsoft.com/office/excel/2006/main">
          <x14:cfRule type="expression" priority="10" id="{E3579247-3398-4D0F-8A5F-0AA4D35EBB4E}">
            <xm:f>$A$12=Paramètres!$A$6</xm:f>
            <x14:dxf>
              <fill>
                <patternFill>
                  <bgColor theme="0" tint="-0.499984740745262"/>
                </patternFill>
              </fill>
            </x14:dxf>
          </x14:cfRule>
          <x14:cfRule type="expression" priority="11" id="{00D12396-79E9-464E-B93D-8612C4FDFCC9}">
            <xm:f>$A$12=Paramètres!$A$4</xm:f>
            <x14:dxf>
              <fill>
                <patternFill>
                  <bgColor theme="0" tint="-0.499984740745262"/>
                </patternFill>
              </fill>
            </x14:dxf>
          </x14:cfRule>
          <xm:sqref>D65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677CCAD-F71D-4002-98FF-98E1E25D4AEA}">
          <x14:formula1>
            <xm:f>Paramètres!$A$3:$A$6</xm:f>
          </x14:formula1>
          <xm:sqref>A12:D12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4FA8F-9FF6-43C2-8BBE-D3337DFBDD4E}">
  <dimension ref="A1:G82"/>
  <sheetViews>
    <sheetView workbookViewId="0">
      <selection activeCell="A14" sqref="A14:D15"/>
    </sheetView>
  </sheetViews>
  <sheetFormatPr baseColWidth="10" defaultColWidth="11.44140625" defaultRowHeight="14.4" x14ac:dyDescent="0.3"/>
  <cols>
    <col min="1" max="1" width="23.109375" style="2" customWidth="1"/>
    <col min="2" max="2" width="19.6640625" style="2" bestFit="1" customWidth="1"/>
    <col min="3" max="3" width="25.5546875" style="2" customWidth="1"/>
    <col min="4" max="4" width="35.6640625" style="2" customWidth="1"/>
    <col min="5" max="5" width="70.6640625" style="2" customWidth="1"/>
    <col min="6" max="6" width="17.6640625" style="2" customWidth="1"/>
    <col min="7" max="7" width="70.6640625" style="2" customWidth="1"/>
    <col min="8" max="16384" width="11.44140625" style="2"/>
  </cols>
  <sheetData>
    <row r="1" spans="1:5" ht="31.2" x14ac:dyDescent="0.6">
      <c r="A1" s="7" t="s">
        <v>614</v>
      </c>
    </row>
    <row r="3" spans="1:5" ht="21" x14ac:dyDescent="0.4">
      <c r="A3" s="8" t="s">
        <v>8</v>
      </c>
    </row>
    <row r="4" spans="1:5" ht="34.5" customHeight="1" x14ac:dyDescent="0.3">
      <c r="A4" s="80" t="s">
        <v>607</v>
      </c>
      <c r="B4" s="80"/>
      <c r="C4" s="80"/>
      <c r="D4" s="80"/>
    </row>
    <row r="5" spans="1:5" ht="32.25" customHeight="1" x14ac:dyDescent="0.3">
      <c r="A5" s="80" t="s">
        <v>609</v>
      </c>
      <c r="B5" s="80"/>
      <c r="C5" s="80"/>
      <c r="D5" s="80"/>
    </row>
    <row r="6" spans="1:5" ht="33" customHeight="1" x14ac:dyDescent="0.3">
      <c r="A6" s="80" t="s">
        <v>610</v>
      </c>
      <c r="B6" s="80"/>
      <c r="C6" s="80"/>
      <c r="D6" s="80"/>
    </row>
    <row r="7" spans="1:5" ht="33.75" customHeight="1" x14ac:dyDescent="0.3">
      <c r="A7" s="80" t="s">
        <v>608</v>
      </c>
      <c r="B7" s="80"/>
      <c r="C7" s="80"/>
      <c r="D7" s="80"/>
    </row>
    <row r="8" spans="1:5" ht="66" customHeight="1" x14ac:dyDescent="0.3">
      <c r="A8" s="80" t="s">
        <v>654</v>
      </c>
      <c r="B8" s="80"/>
      <c r="C8" s="80"/>
      <c r="D8" s="80"/>
    </row>
    <row r="9" spans="1:5" ht="33.75" customHeight="1" x14ac:dyDescent="0.3">
      <c r="A9" s="80" t="s">
        <v>655</v>
      </c>
      <c r="B9" s="80"/>
      <c r="C9" s="80"/>
      <c r="D9" s="80"/>
    </row>
    <row r="11" spans="1:5" ht="21" x14ac:dyDescent="0.4">
      <c r="A11" s="8" t="s">
        <v>747</v>
      </c>
    </row>
    <row r="13" spans="1:5" x14ac:dyDescent="0.3">
      <c r="A13" s="2" t="s">
        <v>675</v>
      </c>
      <c r="E13" s="64" t="s">
        <v>754</v>
      </c>
    </row>
    <row r="14" spans="1:5" ht="17.25" customHeight="1" x14ac:dyDescent="0.3">
      <c r="A14" s="97"/>
      <c r="B14" s="97"/>
      <c r="C14" s="97"/>
      <c r="D14" s="97"/>
      <c r="E14" s="81"/>
    </row>
    <row r="15" spans="1:5" ht="41.25" customHeight="1" x14ac:dyDescent="0.3">
      <c r="A15" s="97"/>
      <c r="B15" s="97"/>
      <c r="C15" s="97"/>
      <c r="D15" s="97"/>
      <c r="E15" s="81"/>
    </row>
    <row r="16" spans="1:5" ht="69" customHeight="1" x14ac:dyDescent="0.3">
      <c r="A16" s="93" t="str">
        <f>IF(A14=Paramètres!$A$3,Paramètres!$C$9,IF(A14=Paramètres!$A$4,Paramètres!$C$10,IF(A14=Paramètres!$A$5,Paramètres!$C$11,IF(A14=Paramètres!$A$6,Paramètres!$C$12,""))))</f>
        <v/>
      </c>
      <c r="B16" s="93"/>
      <c r="C16" s="93"/>
      <c r="D16" s="93"/>
      <c r="E16" s="81"/>
    </row>
    <row r="18" spans="1:7" ht="21" x14ac:dyDescent="0.4">
      <c r="A18" s="8" t="s">
        <v>669</v>
      </c>
    </row>
    <row r="20" spans="1:7" x14ac:dyDescent="0.3">
      <c r="A20" s="99"/>
      <c r="B20" s="99"/>
      <c r="C20" s="99"/>
      <c r="D20" s="64" t="s">
        <v>611</v>
      </c>
      <c r="E20" s="64" t="s">
        <v>754</v>
      </c>
    </row>
    <row r="21" spans="1:7" ht="33" customHeight="1" x14ac:dyDescent="0.3">
      <c r="A21" s="94" t="s">
        <v>613</v>
      </c>
      <c r="B21" s="94"/>
      <c r="C21" s="94"/>
      <c r="D21" s="37" t="str">
        <f>_xlfn.IFNA(VLOOKUP(Signalétique!$B$3,'Données communes'!B:T,17,FALSE),"")</f>
        <v/>
      </c>
      <c r="E21" s="65"/>
    </row>
    <row r="22" spans="1:7" ht="18.75" customHeight="1" x14ac:dyDescent="0.3">
      <c r="A22" s="94" t="s">
        <v>612</v>
      </c>
      <c r="B22" s="94"/>
      <c r="C22" s="94"/>
      <c r="D22" s="37" t="str">
        <f>_xlfn.IFNA(VLOOKUP(Signalétique!$B$3,'Données communes'!B:T,19,FALSE),"")</f>
        <v/>
      </c>
      <c r="E22" s="65"/>
    </row>
    <row r="23" spans="1:7" x14ac:dyDescent="0.3">
      <c r="A23" s="91" t="s">
        <v>618</v>
      </c>
      <c r="B23" s="91"/>
      <c r="C23" s="91"/>
      <c r="D23" s="41" t="str">
        <f>IF(AND(D21="",D22=""),"",SUM(D21:D22))</f>
        <v/>
      </c>
      <c r="E23" s="68"/>
    </row>
    <row r="24" spans="1:7" x14ac:dyDescent="0.3">
      <c r="A24" s="40"/>
      <c r="B24" s="40"/>
      <c r="C24" s="40"/>
    </row>
    <row r="25" spans="1:7" ht="21" x14ac:dyDescent="0.4">
      <c r="A25" s="8" t="s">
        <v>752</v>
      </c>
      <c r="G25" s="5"/>
    </row>
    <row r="26" spans="1:7" x14ac:dyDescent="0.3">
      <c r="G26" s="5"/>
    </row>
    <row r="27" spans="1:7" ht="33.75" customHeight="1" x14ac:dyDescent="0.3">
      <c r="A27" s="80" t="s">
        <v>616</v>
      </c>
      <c r="B27" s="80"/>
      <c r="C27" s="80"/>
      <c r="D27" s="80"/>
      <c r="G27" s="5"/>
    </row>
    <row r="28" spans="1:7" ht="34.5" customHeight="1" x14ac:dyDescent="0.3">
      <c r="A28" s="80" t="s">
        <v>617</v>
      </c>
      <c r="B28" s="80"/>
      <c r="C28" s="80"/>
      <c r="D28" s="80"/>
      <c r="G28" s="5"/>
    </row>
    <row r="29" spans="1:7" ht="35.25" customHeight="1" x14ac:dyDescent="0.3">
      <c r="A29" s="80" t="s">
        <v>626</v>
      </c>
      <c r="B29" s="80"/>
      <c r="C29" s="80"/>
      <c r="D29" s="80"/>
      <c r="G29" s="5"/>
    </row>
    <row r="30" spans="1:7" ht="50.25" customHeight="1" x14ac:dyDescent="0.3">
      <c r="A30" s="92" t="s">
        <v>762</v>
      </c>
      <c r="B30" s="92"/>
      <c r="C30" s="92"/>
      <c r="D30" s="92"/>
    </row>
    <row r="31" spans="1:7" ht="65.25" customHeight="1" x14ac:dyDescent="0.3">
      <c r="A31" s="80" t="s">
        <v>619</v>
      </c>
      <c r="B31" s="80"/>
      <c r="C31" s="80"/>
      <c r="D31" s="80"/>
    </row>
    <row r="33" spans="1:5" x14ac:dyDescent="0.3">
      <c r="A33" s="2" t="s">
        <v>630</v>
      </c>
    </row>
    <row r="34" spans="1:5" x14ac:dyDescent="0.3">
      <c r="A34" s="35" t="s">
        <v>721</v>
      </c>
    </row>
    <row r="36" spans="1:5" x14ac:dyDescent="0.3">
      <c r="A36" s="62" t="s">
        <v>14</v>
      </c>
      <c r="B36" s="62" t="s">
        <v>620</v>
      </c>
      <c r="C36" s="62" t="s">
        <v>621</v>
      </c>
      <c r="D36" s="62" t="s">
        <v>17</v>
      </c>
      <c r="E36" s="64" t="s">
        <v>754</v>
      </c>
    </row>
    <row r="37" spans="1:5" x14ac:dyDescent="0.3">
      <c r="A37" s="35"/>
      <c r="B37" s="36"/>
      <c r="C37" s="35"/>
      <c r="D37" s="59" t="str">
        <f t="shared" ref="D37:D46" si="0">IF(COUNTBLANK(A37:C37)=3,"",IF(A37="","Complétez la fréquence annuelle",IF(AND($A$34="%",$A37&lt;&gt;"",B37=""),"Complétez le % d'infrastructures",IF(AND($A$34="Nombre",$A37&lt;&gt;"",C37=""),"Complétez le nombre d'infrastructures","OK"))))</f>
        <v/>
      </c>
      <c r="E37" s="81"/>
    </row>
    <row r="38" spans="1:5" x14ac:dyDescent="0.3">
      <c r="A38" s="35"/>
      <c r="B38" s="36"/>
      <c r="C38" s="35"/>
      <c r="D38" s="59" t="str">
        <f t="shared" si="0"/>
        <v/>
      </c>
      <c r="E38" s="81"/>
    </row>
    <row r="39" spans="1:5" x14ac:dyDescent="0.3">
      <c r="A39" s="35"/>
      <c r="B39" s="36"/>
      <c r="C39" s="35"/>
      <c r="D39" s="59" t="str">
        <f t="shared" si="0"/>
        <v/>
      </c>
      <c r="E39" s="81"/>
    </row>
    <row r="40" spans="1:5" x14ac:dyDescent="0.3">
      <c r="A40" s="35"/>
      <c r="B40" s="36"/>
      <c r="C40" s="35"/>
      <c r="D40" s="59" t="str">
        <f t="shared" si="0"/>
        <v/>
      </c>
      <c r="E40" s="81"/>
    </row>
    <row r="41" spans="1:5" x14ac:dyDescent="0.3">
      <c r="A41" s="35"/>
      <c r="B41" s="36"/>
      <c r="C41" s="35"/>
      <c r="D41" s="59" t="str">
        <f t="shared" si="0"/>
        <v/>
      </c>
      <c r="E41" s="81"/>
    </row>
    <row r="42" spans="1:5" x14ac:dyDescent="0.3">
      <c r="A42" s="35"/>
      <c r="B42" s="36"/>
      <c r="C42" s="35"/>
      <c r="D42" s="59" t="str">
        <f t="shared" si="0"/>
        <v/>
      </c>
      <c r="E42" s="81"/>
    </row>
    <row r="43" spans="1:5" x14ac:dyDescent="0.3">
      <c r="A43" s="35"/>
      <c r="B43" s="36"/>
      <c r="C43" s="35"/>
      <c r="D43" s="59" t="str">
        <f t="shared" si="0"/>
        <v/>
      </c>
      <c r="E43" s="81"/>
    </row>
    <row r="44" spans="1:5" x14ac:dyDescent="0.3">
      <c r="A44" s="35"/>
      <c r="B44" s="36"/>
      <c r="C44" s="35"/>
      <c r="D44" s="59" t="str">
        <f t="shared" si="0"/>
        <v/>
      </c>
      <c r="E44" s="81"/>
    </row>
    <row r="45" spans="1:5" x14ac:dyDescent="0.3">
      <c r="A45" s="35"/>
      <c r="B45" s="36"/>
      <c r="C45" s="35"/>
      <c r="D45" s="59" t="str">
        <f t="shared" si="0"/>
        <v/>
      </c>
      <c r="E45" s="81"/>
    </row>
    <row r="46" spans="1:5" x14ac:dyDescent="0.3">
      <c r="A46" s="35"/>
      <c r="B46" s="36"/>
      <c r="C46" s="35"/>
      <c r="D46" s="59" t="str">
        <f t="shared" si="0"/>
        <v/>
      </c>
      <c r="E46" s="81"/>
    </row>
    <row r="47" spans="1:5" ht="28.8" x14ac:dyDescent="0.3">
      <c r="A47" s="61" t="s">
        <v>18</v>
      </c>
      <c r="B47" s="58">
        <f>SUM(B37:B46)</f>
        <v>0</v>
      </c>
      <c r="C47" s="39">
        <f>SUM(C37:C46)</f>
        <v>0</v>
      </c>
      <c r="D47" s="63" t="str">
        <f>IF(AND($A$34="%",B47&lt;&gt;100%),"Complétez de façon à que la somme des % fasse 100%",IF(AND($A$34="Nombre",C47&lt;&gt;D23),"Complétez de façon à ce que le nombre total d'infrasctructures fasse "&amp;FIXED(D23,0),"OK"))</f>
        <v>Complétez de façon à que la somme des % fasse 100%</v>
      </c>
      <c r="E47" s="81"/>
    </row>
    <row r="50" spans="1:5" ht="31.5" customHeight="1" x14ac:dyDescent="0.4">
      <c r="A50" s="8" t="s">
        <v>753</v>
      </c>
    </row>
    <row r="52" spans="1:5" ht="34.5" customHeight="1" x14ac:dyDescent="0.3">
      <c r="A52" s="80" t="s">
        <v>624</v>
      </c>
      <c r="B52" s="80"/>
      <c r="C52" s="80"/>
      <c r="D52" s="80"/>
    </row>
    <row r="53" spans="1:5" ht="34.5" customHeight="1" x14ac:dyDescent="0.3">
      <c r="A53" s="80" t="s">
        <v>625</v>
      </c>
      <c r="B53" s="80"/>
      <c r="C53" s="80"/>
      <c r="D53" s="80"/>
    </row>
    <row r="54" spans="1:5" ht="35.25" customHeight="1" x14ac:dyDescent="0.3">
      <c r="A54" s="80" t="s">
        <v>627</v>
      </c>
      <c r="B54" s="80"/>
      <c r="C54" s="80"/>
      <c r="D54" s="80"/>
    </row>
    <row r="55" spans="1:5" ht="48.75" customHeight="1" x14ac:dyDescent="0.3">
      <c r="A55" s="92" t="s">
        <v>762</v>
      </c>
      <c r="B55" s="92"/>
      <c r="C55" s="92"/>
      <c r="D55" s="92"/>
    </row>
    <row r="56" spans="1:5" ht="50.25" customHeight="1" x14ac:dyDescent="0.3">
      <c r="A56" s="80" t="s">
        <v>628</v>
      </c>
      <c r="B56" s="80"/>
      <c r="C56" s="80"/>
      <c r="D56" s="80"/>
    </row>
    <row r="57" spans="1:5" ht="37.5" customHeight="1" x14ac:dyDescent="0.3">
      <c r="A57" s="80" t="s">
        <v>629</v>
      </c>
      <c r="B57" s="80"/>
      <c r="C57" s="80"/>
      <c r="D57" s="80"/>
    </row>
    <row r="59" spans="1:5" x14ac:dyDescent="0.3">
      <c r="A59" s="2" t="s">
        <v>630</v>
      </c>
    </row>
    <row r="60" spans="1:5" x14ac:dyDescent="0.3">
      <c r="A60" s="35" t="s">
        <v>721</v>
      </c>
    </row>
    <row r="61" spans="1:5" ht="27.75" customHeight="1" x14ac:dyDescent="0.3"/>
    <row r="62" spans="1:5" x14ac:dyDescent="0.3">
      <c r="A62" s="62" t="s">
        <v>631</v>
      </c>
      <c r="B62" s="62" t="s">
        <v>620</v>
      </c>
      <c r="C62" s="62" t="s">
        <v>621</v>
      </c>
      <c r="D62" s="62" t="s">
        <v>17</v>
      </c>
      <c r="E62" s="64" t="s">
        <v>754</v>
      </c>
    </row>
    <row r="63" spans="1:5" x14ac:dyDescent="0.3">
      <c r="A63" s="35">
        <v>1</v>
      </c>
      <c r="B63" s="36"/>
      <c r="C63" s="35"/>
      <c r="D63" s="63" t="str">
        <f>IF(COUNTBLANK(A63:C63)=3,"",IF(A63="","Complétez la composition d'équipe",IF(AND($A$60="%",$A63&lt;&gt;"",B63=""),"Complétez le % d'infrastructures",IF(AND($A$60="Nombre",$A63&lt;&gt;"",C63=""),"Complétez le nombre d'infrastructures","OK"))))</f>
        <v>Complétez le % d'infrastructures</v>
      </c>
      <c r="E63" s="98"/>
    </row>
    <row r="64" spans="1:5" x14ac:dyDescent="0.3">
      <c r="A64" s="35">
        <v>2</v>
      </c>
      <c r="B64" s="36"/>
      <c r="C64" s="35"/>
      <c r="D64" s="63" t="str">
        <f>IF(COUNTBLANK(A64:C64)=3,"",IF(A64="","CompléteZ la composition d'équipe",IF(AND($A$60="%",$A64&lt;&gt;"",B64=""),"Complétez le % d'infrastructures",IF(AND($A$60="Nombre",$A64&lt;&gt;"",C64=""),"Complétez le nombre d'infrastructures","OK"))))</f>
        <v>Complétez le % d'infrastructures</v>
      </c>
      <c r="E64" s="98"/>
    </row>
    <row r="65" spans="1:6" x14ac:dyDescent="0.3">
      <c r="A65" s="35">
        <v>3</v>
      </c>
      <c r="B65" s="36"/>
      <c r="C65" s="35"/>
      <c r="D65" s="63" t="str">
        <f>IF(COUNTBLANK(A65:C65)=3,"",IF(A65="","CompléteZ la composition d'équipe",IF(AND($A$60="%",$A65&lt;&gt;"",B65=""),"Complétez le % d'infrastructures",IF(AND($A$60="Nombre",$A65&lt;&gt;"",C65=""),"Complétez le nombre d'infrastructures","OK"))))</f>
        <v>Complétez le % d'infrastructures</v>
      </c>
      <c r="E65" s="98"/>
    </row>
    <row r="66" spans="1:6" x14ac:dyDescent="0.3">
      <c r="A66" s="35"/>
      <c r="B66" s="36"/>
      <c r="C66" s="35"/>
      <c r="D66" s="63" t="str">
        <f>IF(COUNTBLANK(A66:C66)=3,"",IF(A66="","CompléteZ la composition d'équipe",IF(AND($A$60="%",$A66&lt;&gt;"",B66=""),"Complétez le % d'infrastructures",IF(AND($A$60="Nombre",$A66&lt;&gt;"",C66=""),"Complétez le nombre d'infrastructures","OK"))))</f>
        <v/>
      </c>
      <c r="E66" s="98"/>
    </row>
    <row r="67" spans="1:6" x14ac:dyDescent="0.3">
      <c r="A67" s="35"/>
      <c r="B67" s="36"/>
      <c r="C67" s="35"/>
      <c r="D67" s="63" t="str">
        <f>IF(COUNTBLANK(A67:C67)=3,"",IF(A67="","CompléteZ la composition d'équipe",IF(AND($A$60="%",$A67&lt;&gt;"",B67=""),"Complétez le % d'infrastructures",IF(AND($A$60="Nombre",$A67&lt;&gt;"",C67=""),"Complétez le nombre d'infrastructures","OK"))))</f>
        <v/>
      </c>
      <c r="E67" s="98"/>
    </row>
    <row r="68" spans="1:6" ht="28.8" x14ac:dyDescent="0.3">
      <c r="A68" s="61" t="s">
        <v>18</v>
      </c>
      <c r="B68" s="57">
        <f>SUM(B63:B67)</f>
        <v>0</v>
      </c>
      <c r="C68" s="39">
        <f>SUM(C63:C67)</f>
        <v>0</v>
      </c>
      <c r="D68" s="63" t="str">
        <f>IF(AND($A$60="%",B68&lt;&gt;100%),"Complétez de façon à que la somme des % fasse 100%",IF(AND($A$60="Nombre",C68&lt;&gt;D23),"Complétez de façon à ce que le nombre total d'infrasctructures fasse "&amp;FIXED(D23,0),"OK"))</f>
        <v>Complétez de façon à que la somme des % fasse 100%</v>
      </c>
      <c r="E68" s="98"/>
    </row>
    <row r="69" spans="1:6" x14ac:dyDescent="0.3">
      <c r="E69" s="69"/>
    </row>
    <row r="70" spans="1:6" x14ac:dyDescent="0.3">
      <c r="E70" s="69"/>
    </row>
    <row r="71" spans="1:6" ht="21" x14ac:dyDescent="0.4">
      <c r="A71" s="8" t="s">
        <v>561</v>
      </c>
      <c r="E71" s="69"/>
    </row>
    <row r="72" spans="1:6" ht="21" x14ac:dyDescent="0.4">
      <c r="A72" s="8"/>
      <c r="E72" s="69"/>
    </row>
    <row r="73" spans="1:6" x14ac:dyDescent="0.3">
      <c r="A73" s="90"/>
      <c r="B73" s="90"/>
      <c r="C73" s="90"/>
      <c r="D73" s="64" t="s">
        <v>19</v>
      </c>
      <c r="E73" s="64" t="s">
        <v>754</v>
      </c>
    </row>
    <row r="74" spans="1:6" ht="36.75" customHeight="1" x14ac:dyDescent="0.3">
      <c r="A74" s="94" t="s">
        <v>641</v>
      </c>
      <c r="B74" s="94"/>
      <c r="C74" s="94"/>
      <c r="D74" s="37">
        <v>10</v>
      </c>
      <c r="E74" s="65"/>
    </row>
    <row r="75" spans="1:6" ht="36" customHeight="1" x14ac:dyDescent="0.3">
      <c r="A75" s="94" t="s">
        <v>642</v>
      </c>
      <c r="B75" s="94"/>
      <c r="C75" s="94"/>
      <c r="D75" s="37">
        <v>10</v>
      </c>
      <c r="E75" s="65"/>
    </row>
    <row r="76" spans="1:6" x14ac:dyDescent="0.3">
      <c r="A76" s="91" t="s">
        <v>18</v>
      </c>
      <c r="B76" s="91"/>
      <c r="C76" s="91"/>
      <c r="D76" s="39">
        <f>IF(COUNTBLANK(D74:D75)&gt;1,"",SUM(D74:D75))</f>
        <v>20</v>
      </c>
      <c r="E76" s="3"/>
    </row>
    <row r="78" spans="1:6" x14ac:dyDescent="0.3">
      <c r="F78" s="53"/>
    </row>
    <row r="79" spans="1:6" ht="21" x14ac:dyDescent="0.4">
      <c r="A79" s="8" t="s">
        <v>640</v>
      </c>
    </row>
    <row r="81" spans="1:7" x14ac:dyDescent="0.3">
      <c r="A81" s="91"/>
      <c r="B81" s="91"/>
      <c r="C81" s="91"/>
      <c r="D81" s="4" t="s">
        <v>19</v>
      </c>
      <c r="E81" s="4" t="s">
        <v>622</v>
      </c>
      <c r="F81" s="4" t="s">
        <v>623</v>
      </c>
      <c r="G81" s="64" t="s">
        <v>754</v>
      </c>
    </row>
    <row r="82" spans="1:7" ht="74.25" customHeight="1" x14ac:dyDescent="0.3">
      <c r="A82" s="91" t="s">
        <v>656</v>
      </c>
      <c r="B82" s="91"/>
      <c r="C82" s="91"/>
      <c r="D82" s="37" t="str">
        <f>_xlfn.IFNA(VLOOKUP(Signalétique!$B$3,'Données communes'!$B:$Q,15,FALSE),"")</f>
        <v/>
      </c>
      <c r="E82" s="37" t="str">
        <f>_xlfn.IFNA(VLOOKUP(Signalétique!$B$3,'Données communes'!$B:$Q,16,FALSE),"")</f>
        <v/>
      </c>
      <c r="F82" s="39" t="e">
        <f>IF(COUNTBLANK(D68:E68)=2,"",D82*60+E82)</f>
        <v>#VALUE!</v>
      </c>
      <c r="G82" s="65"/>
    </row>
  </sheetData>
  <sheetProtection sheet="1" objects="1" scenarios="1"/>
  <mergeCells count="32">
    <mergeCell ref="A16:D16"/>
    <mergeCell ref="A9:D9"/>
    <mergeCell ref="A28:D28"/>
    <mergeCell ref="A29:D29"/>
    <mergeCell ref="A14:D15"/>
    <mergeCell ref="A4:D4"/>
    <mergeCell ref="A5:D5"/>
    <mergeCell ref="A6:D6"/>
    <mergeCell ref="A7:D7"/>
    <mergeCell ref="A8:D8"/>
    <mergeCell ref="A56:D56"/>
    <mergeCell ref="A57:D57"/>
    <mergeCell ref="A53:D53"/>
    <mergeCell ref="A30:D30"/>
    <mergeCell ref="A31:D31"/>
    <mergeCell ref="A52:D52"/>
    <mergeCell ref="E14:E16"/>
    <mergeCell ref="E37:E47"/>
    <mergeCell ref="E63:E68"/>
    <mergeCell ref="A81:C81"/>
    <mergeCell ref="A82:C82"/>
    <mergeCell ref="A20:C20"/>
    <mergeCell ref="A21:C21"/>
    <mergeCell ref="A22:C22"/>
    <mergeCell ref="A23:C23"/>
    <mergeCell ref="A76:C76"/>
    <mergeCell ref="A27:D27"/>
    <mergeCell ref="A73:C73"/>
    <mergeCell ref="A74:C74"/>
    <mergeCell ref="A75:C75"/>
    <mergeCell ref="A54:D54"/>
    <mergeCell ref="A55:D55"/>
  </mergeCells>
  <conditionalFormatting sqref="A18:G82">
    <cfRule type="expression" dxfId="27" priority="3">
      <formula>$A$14=""</formula>
    </cfRule>
  </conditionalFormatting>
  <conditionalFormatting sqref="B37:B46">
    <cfRule type="expression" dxfId="23" priority="9">
      <formula>$A$34="Nombre"</formula>
    </cfRule>
  </conditionalFormatting>
  <conditionalFormatting sqref="B47">
    <cfRule type="expression" dxfId="22" priority="17">
      <formula>$A$34="Nombre"</formula>
    </cfRule>
    <cfRule type="expression" dxfId="21" priority="23">
      <formula>AND($B$47&lt;&gt;100%,$A$34="%")</formula>
    </cfRule>
  </conditionalFormatting>
  <conditionalFormatting sqref="B63:B67">
    <cfRule type="expression" dxfId="19" priority="7">
      <formula>$A$60="Nombre"</formula>
    </cfRule>
  </conditionalFormatting>
  <conditionalFormatting sqref="B68">
    <cfRule type="expression" dxfId="18" priority="18">
      <formula>$A$60="Nombre"</formula>
    </cfRule>
    <cfRule type="expression" dxfId="17" priority="26">
      <formula>AND($B$68&lt;&gt;100%,$A$60="%")</formula>
    </cfRule>
  </conditionalFormatting>
  <conditionalFormatting sqref="C37:C47">
    <cfRule type="expression" dxfId="15" priority="24">
      <formula>$A$34="%"</formula>
    </cfRule>
  </conditionalFormatting>
  <conditionalFormatting sqref="C47">
    <cfRule type="expression" dxfId="14" priority="21">
      <formula>AND($D$47&lt;&gt;"OK",$A$34="Nombre")</formula>
    </cfRule>
  </conditionalFormatting>
  <conditionalFormatting sqref="C63:C67">
    <cfRule type="expression" dxfId="12" priority="5">
      <formula>$A$60="%"</formula>
    </cfRule>
  </conditionalFormatting>
  <conditionalFormatting sqref="C68">
    <cfRule type="expression" dxfId="11" priority="19">
      <formula>$A$60="%"</formula>
    </cfRule>
    <cfRule type="expression" dxfId="10" priority="25">
      <formula>AND($D$68&lt;&gt;"OK",$A$60="Nombre")</formula>
    </cfRule>
  </conditionalFormatting>
  <conditionalFormatting sqref="E73">
    <cfRule type="expression" dxfId="9" priority="2">
      <formula>$A$14=""</formula>
    </cfRule>
  </conditionalFormatting>
  <conditionalFormatting sqref="G81">
    <cfRule type="expression" dxfId="8" priority="1">
      <formula>$A$14=""</formula>
    </cfRule>
  </conditionalFormatting>
  <dataValidations count="9">
    <dataValidation type="whole" operator="greaterThanOrEqual" allowBlank="1" showInputMessage="1" showErrorMessage="1" sqref="D24 D76" xr:uid="{7D9B3FDD-5F46-420F-B858-F2D02895FB6B}">
      <formula1>0</formula1>
    </dataValidation>
    <dataValidation type="whole" operator="greaterThan" allowBlank="1" showInputMessage="1" showErrorMessage="1" errorTitle="Fréquence annuelle de balayage" error="Uniquement un nombre entier strictement positif" sqref="A37:A46" xr:uid="{09E090D3-5E66-46CA-B88A-7A4CED6B2781}">
      <formula1>0</formula1>
    </dataValidation>
    <dataValidation type="list" showInputMessage="1" showErrorMessage="1" sqref="A34 A60" xr:uid="{21594593-0C44-42BB-99B1-427663F4E52C}">
      <formula1>"%, Nombre"</formula1>
    </dataValidation>
    <dataValidation operator="greaterThanOrEqual" allowBlank="1" showInputMessage="1" showErrorMessage="1" sqref="F82 D23" xr:uid="{5406E531-C61F-4555-8B48-C11A58D602AC}"/>
    <dataValidation type="whole" operator="greaterThanOrEqual" allowBlank="1" showInputMessage="1" showErrorMessage="1" errorTitle="Nombre entier" error="La valeur doit être un nombre entier supérieur ou égal à 0_x000a_" sqref="D74:D75 D82:E82" xr:uid="{F5F1AE90-0E70-4639-A9A6-CA45961B3929}">
      <formula1>0</formula1>
    </dataValidation>
    <dataValidation type="whole" operator="greaterThan" allowBlank="1" showInputMessage="1" showErrorMessage="1" errorTitle="Composition d'équipe" error="Uniquement un nombre entier strictement positif" sqref="A63:A67" xr:uid="{4349E602-CF37-4F62-9A06-9B4C11F0C486}">
      <formula1>0</formula1>
    </dataValidation>
    <dataValidation type="decimal" allowBlank="1" showInputMessage="1" showErrorMessage="1" errorTitle="% attendu" error="Veuillez encoder un pourcentage compris entre 0% et 100%" sqref="B37:B46 B63:B67" xr:uid="{4B83A8D9-C2A8-4FE4-A7BF-C25B67C72CFA}">
      <formula1>0</formula1>
      <formula2>1</formula2>
    </dataValidation>
    <dataValidation type="whole" operator="greaterThan" allowBlank="1" showInputMessage="1" showErrorMessage="1" errorTitle="Nombre d'infrastructures" error="Uniquement un nombre entier strictement positif" sqref="C63:C67 C37:C46" xr:uid="{5A71D8DB-5FF0-4FFF-B8D2-92E7CDB90F96}">
      <formula1>0</formula1>
    </dataValidation>
    <dataValidation type="whole" operator="greaterThanOrEqual" allowBlank="1" showInputMessage="1" showErrorMessage="1" errorTitle="Nombre d'infrastructures" error="Vous devez encoder un chiffre supérieur ou égal à 0." sqref="D21:D22" xr:uid="{FB92546A-37F6-455F-877B-03C9E4B2800E}">
      <formula1>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6" stopIfTrue="1" id="{CDDF947F-F895-4DBC-AEEF-E5828E9FEF32}">
            <xm:f>$A$14=Paramètres!$A$6</xm:f>
            <x14:dxf>
              <fill>
                <patternFill>
                  <bgColor theme="0" tint="-0.499984740745262"/>
                </patternFill>
              </fill>
            </x14:dxf>
          </x14:cfRule>
          <xm:sqref>A18:D47</xm:sqref>
        </x14:conditionalFormatting>
        <x14:conditionalFormatting xmlns:xm="http://schemas.microsoft.com/office/excel/2006/main">
          <x14:cfRule type="expression" priority="14" stopIfTrue="1" id="{49812A6D-E0C5-4119-B52B-261273D8ED95}">
            <xm:f>$A$14=Paramètres!$A$6</xm:f>
            <x14:dxf>
              <fill>
                <patternFill>
                  <bgColor theme="0" tint="-0.499984740745262"/>
                </patternFill>
              </fill>
            </x14:dxf>
          </x14:cfRule>
          <xm:sqref>A18:G82</xm:sqref>
        </x14:conditionalFormatting>
        <x14:conditionalFormatting xmlns:xm="http://schemas.microsoft.com/office/excel/2006/main">
          <x14:cfRule type="expression" priority="15" stopIfTrue="1" id="{E8C1AA56-5099-493E-A7E0-0A5D52097780}">
            <xm:f>$A$14=Paramètres!$A$4</xm:f>
            <x14:dxf>
              <fill>
                <patternFill>
                  <bgColor theme="0" tint="-0.499984740745262"/>
                </patternFill>
              </fill>
            </x14:dxf>
          </x14:cfRule>
          <xm:sqref>A50:G82</xm:sqref>
        </x14:conditionalFormatting>
        <x14:conditionalFormatting xmlns:xm="http://schemas.microsoft.com/office/excel/2006/main">
          <x14:cfRule type="expression" priority="8" stopIfTrue="1" id="{24391A13-8ADE-42D6-863E-DEDA4124EB2D}">
            <xm:f>$A$10=Paramètres!$A$6</xm:f>
            <x14:dxf>
              <fill>
                <patternFill>
                  <bgColor theme="0" tint="-0.499984740745262"/>
                </patternFill>
              </fill>
            </x14:dxf>
          </x14:cfRule>
          <xm:sqref>B37:B46</xm:sqref>
        </x14:conditionalFormatting>
        <x14:conditionalFormatting xmlns:xm="http://schemas.microsoft.com/office/excel/2006/main">
          <x14:cfRule type="expression" priority="6" stopIfTrue="1" id="{307CBCB6-3484-42D0-9D1F-77C655CA95B4}">
            <xm:f>$A$10=Paramètres!$A$6</xm:f>
            <x14:dxf>
              <fill>
                <patternFill>
                  <bgColor theme="0" tint="-0.499984740745262"/>
                </patternFill>
              </fill>
            </x14:dxf>
          </x14:cfRule>
          <xm:sqref>B63:B67</xm:sqref>
        </x14:conditionalFormatting>
        <x14:conditionalFormatting xmlns:xm="http://schemas.microsoft.com/office/excel/2006/main">
          <x14:cfRule type="expression" priority="20" stopIfTrue="1" id="{5BF1F531-45F7-4B98-BC66-DB5829F3F256}">
            <xm:f>$A$14=Paramètres!$A$6</xm:f>
            <x14:dxf>
              <fill>
                <patternFill>
                  <bgColor theme="0" tint="-0.499984740745262"/>
                </patternFill>
              </fill>
            </x14:dxf>
          </x14:cfRule>
          <xm:sqref>B47:C47</xm:sqref>
        </x14:conditionalFormatting>
        <x14:conditionalFormatting xmlns:xm="http://schemas.microsoft.com/office/excel/2006/main">
          <x14:cfRule type="expression" priority="4" stopIfTrue="1" id="{D2B57BB7-DBCE-4872-BCC6-39474AB9F16F}">
            <xm:f>$A$14=Paramètres!$A$6</xm:f>
            <x14:dxf>
              <fill>
                <patternFill>
                  <bgColor theme="0" tint="-0.499984740745262"/>
                </patternFill>
              </fill>
            </x14:dxf>
          </x14:cfRule>
          <xm:sqref>C63:C67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BF1F2BE-3AF1-4C2C-87EC-3A77ED807DC5}">
          <x14:formula1>
            <xm:f>Paramètres!$A$3:$A$6</xm:f>
          </x14:formula1>
          <xm:sqref>A14:D14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06AB2-F493-45D7-8D6F-1128B9CB5C24}">
  <dimension ref="A1:E57"/>
  <sheetViews>
    <sheetView workbookViewId="0">
      <selection activeCell="A11" sqref="A11:D12"/>
    </sheetView>
  </sheetViews>
  <sheetFormatPr baseColWidth="10" defaultColWidth="11.44140625" defaultRowHeight="14.4" x14ac:dyDescent="0.3"/>
  <cols>
    <col min="1" max="1" width="23.109375" style="2" customWidth="1"/>
    <col min="2" max="2" width="16.6640625" style="2" bestFit="1" customWidth="1"/>
    <col min="3" max="3" width="16.88671875" style="2" customWidth="1"/>
    <col min="4" max="4" width="25" style="2" bestFit="1" customWidth="1"/>
    <col min="5" max="5" width="71.109375" style="2" bestFit="1" customWidth="1"/>
    <col min="6" max="16384" width="11.44140625" style="2"/>
  </cols>
  <sheetData>
    <row r="1" spans="1:5" ht="31.2" x14ac:dyDescent="0.6">
      <c r="A1" s="7" t="s">
        <v>598</v>
      </c>
    </row>
    <row r="3" spans="1:5" ht="21" x14ac:dyDescent="0.4">
      <c r="A3" s="8" t="s">
        <v>8</v>
      </c>
    </row>
    <row r="4" spans="1:5" ht="44.25" customHeight="1" x14ac:dyDescent="0.3">
      <c r="A4" s="80" t="s">
        <v>766</v>
      </c>
      <c r="B4" s="80"/>
      <c r="C4" s="80"/>
      <c r="D4" s="80"/>
    </row>
    <row r="5" spans="1:5" ht="32.25" customHeight="1" x14ac:dyDescent="0.3">
      <c r="A5" s="80" t="s">
        <v>651</v>
      </c>
      <c r="B5" s="80"/>
      <c r="C5" s="80"/>
      <c r="D5" s="80"/>
    </row>
    <row r="6" spans="1:5" ht="33.75" customHeight="1" x14ac:dyDescent="0.3">
      <c r="A6" s="80" t="s">
        <v>599</v>
      </c>
      <c r="B6" s="80"/>
      <c r="C6" s="80"/>
      <c r="D6" s="80"/>
    </row>
    <row r="7" spans="1:5" x14ac:dyDescent="0.3">
      <c r="A7" s="50"/>
      <c r="B7" s="50"/>
      <c r="C7" s="50"/>
      <c r="D7" s="50"/>
    </row>
    <row r="8" spans="1:5" ht="21" x14ac:dyDescent="0.4">
      <c r="A8" s="8" t="s">
        <v>747</v>
      </c>
    </row>
    <row r="10" spans="1:5" x14ac:dyDescent="0.3">
      <c r="A10" s="2" t="s">
        <v>694</v>
      </c>
      <c r="E10" s="64" t="s">
        <v>754</v>
      </c>
    </row>
    <row r="11" spans="1:5" x14ac:dyDescent="0.3">
      <c r="A11" s="97"/>
      <c r="B11" s="97"/>
      <c r="C11" s="97"/>
      <c r="D11" s="97"/>
      <c r="E11" s="81"/>
    </row>
    <row r="12" spans="1:5" x14ac:dyDescent="0.3">
      <c r="A12" s="97"/>
      <c r="B12" s="97"/>
      <c r="C12" s="97"/>
      <c r="D12" s="97"/>
      <c r="E12" s="81"/>
    </row>
    <row r="13" spans="1:5" ht="53.25" customHeight="1" x14ac:dyDescent="0.3">
      <c r="A13" s="93" t="str">
        <f>IF(A11=Paramètres!$A$3,Paramètres!$D$9,IF(A11=Paramètres!$A$4,Paramètres!$D$10,IF(A11=Paramètres!$A$5,Paramètres!$D$11,IF(A11=Paramètres!$A$6,Paramètres!$D$12,""))))</f>
        <v/>
      </c>
      <c r="B13" s="93"/>
      <c r="C13" s="93"/>
      <c r="D13" s="93"/>
      <c r="E13" s="81"/>
    </row>
    <row r="16" spans="1:5" ht="21" x14ac:dyDescent="0.4">
      <c r="A16" s="8" t="s">
        <v>751</v>
      </c>
    </row>
    <row r="18" spans="1:5" x14ac:dyDescent="0.3">
      <c r="A18" s="90"/>
      <c r="B18" s="90"/>
      <c r="C18" s="90"/>
      <c r="D18" s="64" t="s">
        <v>601</v>
      </c>
      <c r="E18" s="64" t="s">
        <v>754</v>
      </c>
    </row>
    <row r="19" spans="1:5" ht="32.25" customHeight="1" x14ac:dyDescent="0.3">
      <c r="A19" s="94" t="s">
        <v>600</v>
      </c>
      <c r="B19" s="94"/>
      <c r="C19" s="94"/>
      <c r="D19" s="37"/>
      <c r="E19" s="81"/>
    </row>
    <row r="20" spans="1:5" ht="33" customHeight="1" x14ac:dyDescent="0.3">
      <c r="A20" s="94" t="s">
        <v>602</v>
      </c>
      <c r="B20" s="94"/>
      <c r="C20" s="94"/>
      <c r="D20" s="37"/>
      <c r="E20" s="81"/>
    </row>
    <row r="21" spans="1:5" x14ac:dyDescent="0.3">
      <c r="A21" s="91" t="s">
        <v>603</v>
      </c>
      <c r="B21" s="91"/>
      <c r="C21" s="91"/>
      <c r="D21" s="39">
        <f>IF(COUNTBLANK(D19:D20)&gt;0,0,D19*D20)</f>
        <v>0</v>
      </c>
      <c r="E21" s="3" t="str">
        <f>IF(AND(D21=0,A11&lt;&gt;Paramètres!A6),"Veuillez compléter les surfaces nettoyées","")</f>
        <v>Veuillez compléter les surfaces nettoyées</v>
      </c>
    </row>
    <row r="23" spans="1:5" ht="21" x14ac:dyDescent="0.4">
      <c r="A23" s="8" t="s">
        <v>748</v>
      </c>
    </row>
    <row r="25" spans="1:5" ht="31.5" customHeight="1" x14ac:dyDescent="0.3">
      <c r="A25" s="80" t="s">
        <v>718</v>
      </c>
      <c r="B25" s="80"/>
      <c r="C25" s="80"/>
      <c r="D25" s="80"/>
    </row>
    <row r="26" spans="1:5" ht="35.25" customHeight="1" x14ac:dyDescent="0.3">
      <c r="A26" s="80" t="s">
        <v>657</v>
      </c>
      <c r="B26" s="80"/>
      <c r="C26" s="80"/>
      <c r="D26" s="80"/>
    </row>
    <row r="27" spans="1:5" ht="34.5" customHeight="1" x14ac:dyDescent="0.3">
      <c r="A27" s="80" t="s">
        <v>662</v>
      </c>
      <c r="B27" s="80"/>
      <c r="C27" s="80"/>
      <c r="D27" s="80"/>
    </row>
    <row r="28" spans="1:5" ht="55.5" customHeight="1" x14ac:dyDescent="0.3">
      <c r="A28" s="92" t="s">
        <v>677</v>
      </c>
      <c r="B28" s="92"/>
      <c r="C28" s="92"/>
      <c r="D28" s="92"/>
    </row>
    <row r="29" spans="1:5" ht="33.75" customHeight="1" x14ac:dyDescent="0.3">
      <c r="A29" s="80" t="s">
        <v>658</v>
      </c>
      <c r="B29" s="80"/>
      <c r="C29" s="80"/>
      <c r="D29" s="80"/>
    </row>
    <row r="31" spans="1:5" x14ac:dyDescent="0.3">
      <c r="A31" s="2" t="s">
        <v>659</v>
      </c>
    </row>
    <row r="32" spans="1:5" x14ac:dyDescent="0.3">
      <c r="A32" s="35" t="s">
        <v>721</v>
      </c>
    </row>
    <row r="34" spans="1:5" x14ac:dyDescent="0.3">
      <c r="A34" s="62" t="s">
        <v>14</v>
      </c>
      <c r="B34" s="62" t="s">
        <v>660</v>
      </c>
      <c r="C34" s="62" t="s">
        <v>661</v>
      </c>
      <c r="D34" s="62" t="s">
        <v>17</v>
      </c>
      <c r="E34" s="64" t="s">
        <v>754</v>
      </c>
    </row>
    <row r="35" spans="1:5" x14ac:dyDescent="0.3">
      <c r="A35" s="35"/>
      <c r="B35" s="36"/>
      <c r="C35" s="37"/>
      <c r="D35" s="3" t="str">
        <f t="shared" ref="D35:D44" si="0">IF(COUNTBLANK(A35:C35)=3,"",IF(A35="","Complétez la fréquence annuelle",IF(AND($A$32="%",$A35&lt;&gt;"",B35=""),"Complétez le % de superficie",IF(AND($A$32="Superficie (m2)",$A35&lt;&gt;"",C35=""),"Complétez la superficie (m2)","OK"))))</f>
        <v/>
      </c>
      <c r="E35" s="98"/>
    </row>
    <row r="36" spans="1:5" x14ac:dyDescent="0.3">
      <c r="A36" s="35"/>
      <c r="B36" s="36"/>
      <c r="C36" s="37"/>
      <c r="D36" s="3" t="str">
        <f t="shared" si="0"/>
        <v/>
      </c>
      <c r="E36" s="98"/>
    </row>
    <row r="37" spans="1:5" x14ac:dyDescent="0.3">
      <c r="A37" s="35"/>
      <c r="B37" s="36"/>
      <c r="C37" s="37"/>
      <c r="D37" s="3" t="str">
        <f t="shared" si="0"/>
        <v/>
      </c>
      <c r="E37" s="98"/>
    </row>
    <row r="38" spans="1:5" x14ac:dyDescent="0.3">
      <c r="A38" s="35"/>
      <c r="B38" s="36"/>
      <c r="C38" s="37"/>
      <c r="D38" s="3" t="str">
        <f t="shared" si="0"/>
        <v/>
      </c>
      <c r="E38" s="98"/>
    </row>
    <row r="39" spans="1:5" x14ac:dyDescent="0.3">
      <c r="A39" s="35"/>
      <c r="B39" s="36"/>
      <c r="C39" s="37"/>
      <c r="D39" s="3" t="str">
        <f t="shared" si="0"/>
        <v/>
      </c>
      <c r="E39" s="98"/>
    </row>
    <row r="40" spans="1:5" x14ac:dyDescent="0.3">
      <c r="A40" s="35"/>
      <c r="B40" s="36"/>
      <c r="C40" s="37"/>
      <c r="D40" s="3" t="str">
        <f t="shared" si="0"/>
        <v/>
      </c>
      <c r="E40" s="98"/>
    </row>
    <row r="41" spans="1:5" x14ac:dyDescent="0.3">
      <c r="A41" s="35"/>
      <c r="B41" s="36"/>
      <c r="C41" s="37"/>
      <c r="D41" s="3" t="str">
        <f t="shared" si="0"/>
        <v/>
      </c>
      <c r="E41" s="98"/>
    </row>
    <row r="42" spans="1:5" x14ac:dyDescent="0.3">
      <c r="A42" s="35"/>
      <c r="B42" s="36"/>
      <c r="C42" s="37"/>
      <c r="D42" s="3" t="str">
        <f t="shared" si="0"/>
        <v/>
      </c>
      <c r="E42" s="98"/>
    </row>
    <row r="43" spans="1:5" x14ac:dyDescent="0.3">
      <c r="A43" s="35"/>
      <c r="B43" s="36"/>
      <c r="C43" s="37"/>
      <c r="D43" s="3" t="str">
        <f t="shared" si="0"/>
        <v/>
      </c>
      <c r="E43" s="98"/>
    </row>
    <row r="44" spans="1:5" x14ac:dyDescent="0.3">
      <c r="A44" s="35"/>
      <c r="B44" s="36"/>
      <c r="C44" s="37"/>
      <c r="D44" s="3" t="str">
        <f t="shared" si="0"/>
        <v/>
      </c>
      <c r="E44" s="98"/>
    </row>
    <row r="45" spans="1:5" ht="28.8" x14ac:dyDescent="0.3">
      <c r="A45" s="61" t="s">
        <v>18</v>
      </c>
      <c r="B45" s="57">
        <f>SUM(B35:B44)</f>
        <v>0</v>
      </c>
      <c r="C45" s="39">
        <f>SUM(C35:C44)</f>
        <v>0</v>
      </c>
      <c r="D45" s="63" t="str">
        <f>IF(AND($A$32="%",B45&lt;&gt;100%),"Complétez de façon à que la somme des % fasse 100%",IF(AND($A$32="Superficie (m2)",C45&lt;&gt;D21),"Complétez de façon à ce que la superficie totale fasse "&amp;FIXED(D21,0),"OK"))</f>
        <v>Complétez de façon à que la somme des % fasse 100%</v>
      </c>
      <c r="E45" s="98"/>
    </row>
    <row r="46" spans="1:5" x14ac:dyDescent="0.3">
      <c r="A46" s="40"/>
      <c r="B46" s="40"/>
      <c r="C46" s="40"/>
      <c r="D46" s="51"/>
    </row>
    <row r="47" spans="1:5" x14ac:dyDescent="0.3">
      <c r="A47" s="40"/>
      <c r="B47" s="40"/>
      <c r="C47" s="40"/>
      <c r="D47" s="51"/>
    </row>
    <row r="48" spans="1:5" ht="21" x14ac:dyDescent="0.4">
      <c r="A48" s="8" t="s">
        <v>561</v>
      </c>
    </row>
    <row r="49" spans="1:5" ht="21" x14ac:dyDescent="0.4">
      <c r="A49" s="8"/>
    </row>
    <row r="50" spans="1:5" x14ac:dyDescent="0.3">
      <c r="A50" s="90"/>
      <c r="B50" s="90"/>
      <c r="C50" s="90"/>
      <c r="D50" s="64" t="s">
        <v>19</v>
      </c>
      <c r="E50" s="64" t="s">
        <v>754</v>
      </c>
    </row>
    <row r="51" spans="1:5" ht="48.75" customHeight="1" x14ac:dyDescent="0.3">
      <c r="A51" s="94" t="s">
        <v>605</v>
      </c>
      <c r="B51" s="94"/>
      <c r="C51" s="94"/>
      <c r="D51" s="37">
        <v>40</v>
      </c>
      <c r="E51" s="65"/>
    </row>
    <row r="52" spans="1:5" ht="62.25" customHeight="1" x14ac:dyDescent="0.3">
      <c r="A52" s="94" t="s">
        <v>606</v>
      </c>
      <c r="B52" s="94"/>
      <c r="C52" s="94"/>
      <c r="D52" s="37">
        <v>55</v>
      </c>
      <c r="E52" s="65"/>
    </row>
    <row r="54" spans="1:5" ht="21" x14ac:dyDescent="0.4">
      <c r="A54" s="8" t="s">
        <v>566</v>
      </c>
    </row>
    <row r="56" spans="1:5" x14ac:dyDescent="0.3">
      <c r="A56" s="91"/>
      <c r="B56" s="91"/>
      <c r="C56" s="91"/>
      <c r="D56" s="4" t="s">
        <v>19</v>
      </c>
      <c r="E56" s="64" t="s">
        <v>754</v>
      </c>
    </row>
    <row r="57" spans="1:5" ht="39.75" customHeight="1" x14ac:dyDescent="0.3">
      <c r="A57" s="94" t="s">
        <v>604</v>
      </c>
      <c r="B57" s="94"/>
      <c r="C57" s="94"/>
      <c r="D57" s="37">
        <v>8</v>
      </c>
      <c r="E57" s="65"/>
    </row>
  </sheetData>
  <sheetProtection sheet="1" objects="1" scenarios="1"/>
  <mergeCells count="22">
    <mergeCell ref="A4:D4"/>
    <mergeCell ref="A5:D5"/>
    <mergeCell ref="A6:D6"/>
    <mergeCell ref="A50:C50"/>
    <mergeCell ref="A25:D25"/>
    <mergeCell ref="A26:D26"/>
    <mergeCell ref="A27:D27"/>
    <mergeCell ref="A28:D28"/>
    <mergeCell ref="A29:D29"/>
    <mergeCell ref="A13:D13"/>
    <mergeCell ref="A11:D12"/>
    <mergeCell ref="E11:E13"/>
    <mergeCell ref="E19:E20"/>
    <mergeCell ref="E35:E45"/>
    <mergeCell ref="A56:C56"/>
    <mergeCell ref="A57:C57"/>
    <mergeCell ref="A51:C51"/>
    <mergeCell ref="A52:C52"/>
    <mergeCell ref="A18:C18"/>
    <mergeCell ref="A19:C19"/>
    <mergeCell ref="A20:C20"/>
    <mergeCell ref="A21:C21"/>
  </mergeCells>
  <conditionalFormatting sqref="A16:E57">
    <cfRule type="expression" dxfId="6" priority="1">
      <formula>$A$11=""</formula>
    </cfRule>
  </conditionalFormatting>
  <conditionalFormatting sqref="B35:B45">
    <cfRule type="expression" dxfId="3" priority="3">
      <formula>$A$32="Superficie (m2)"</formula>
    </cfRule>
  </conditionalFormatting>
  <conditionalFormatting sqref="B45">
    <cfRule type="expression" dxfId="2" priority="8">
      <formula>AND($B$45&lt;&gt;100%,$A$32="%")</formula>
    </cfRule>
  </conditionalFormatting>
  <conditionalFormatting sqref="C35:C45">
    <cfRule type="expression" dxfId="1" priority="4">
      <formula>$A$32="%"</formula>
    </cfRule>
  </conditionalFormatting>
  <conditionalFormatting sqref="C45">
    <cfRule type="expression" dxfId="0" priority="7">
      <formula>AND($D$45&lt;&gt;"OK",$A$32="Superficie (m2)")</formula>
    </cfRule>
  </conditionalFormatting>
  <dataValidations count="6">
    <dataValidation type="whole" operator="greaterThanOrEqual" allowBlank="1" showInputMessage="1" showErrorMessage="1" errorTitle="Nombre entier attendu" error="La valeur doit être un nombre entier supérieur ou égal à 0_x000a_" sqref="D57 D51:D52 D19:D20" xr:uid="{A80A7981-3F89-4331-B8BB-D3821B853713}">
      <formula1>0</formula1>
    </dataValidation>
    <dataValidation operator="greaterThanOrEqual" allowBlank="1" showInputMessage="1" showErrorMessage="1" errorTitle="Nombre entier attendu" error="La valeur doit être un nombre entier supérieur ou égal à 0_x000a_" sqref="D21" xr:uid="{1DECB864-AC0D-4852-A2BC-13ECD2DA1F6A}"/>
    <dataValidation type="list" showInputMessage="1" showErrorMessage="1" sqref="A32" xr:uid="{1DDF6A22-D8E0-478C-B85C-CCF18A373840}">
      <formula1>"%, Superficie (m2)"</formula1>
    </dataValidation>
    <dataValidation type="whole" operator="greaterThan" allowBlank="1" showInputMessage="1" showErrorMessage="1" errorTitle="Fréquence annuelle de nettoyage" error="Uniquement un nombre entier strictement positif" sqref="A35:A44" xr:uid="{993F893D-70DC-4168-AEE7-2969D4E81D40}">
      <formula1>0</formula1>
    </dataValidation>
    <dataValidation type="decimal" allowBlank="1" showInputMessage="1" showErrorMessage="1" errorTitle="% attendu" error="Veuillez encoder un % compris entre 0% et 100%" sqref="B35:B44" xr:uid="{8DC7A1AB-DEE3-4173-8652-58E5DCC1C34D}">
      <formula1>0</formula1>
      <formula2>1</formula2>
    </dataValidation>
    <dataValidation type="whole" operator="greaterThanOrEqual" allowBlank="1" showInputMessage="1" showErrorMessage="1" errorTitle="Nombre entier attendu" error="Veuillez encoder un nombre supérieur ou égal à zéro" sqref="C35:C44" xr:uid="{07D3EC3B-DA24-4FC0-BDC5-CC7704A76D35}">
      <formula1>0</formula1>
    </dataValidation>
  </dataValidations>
  <pageMargins left="0.7" right="0.7" top="0.75" bottom="0.75"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9" id="{AA8C8F87-DF89-4925-80D5-4EC48A36FEC7}">
            <xm:f>$A$11=Paramètres!$A$6</xm:f>
            <x14:dxf>
              <fill>
                <patternFill>
                  <bgColor theme="0" tint="-0.499984740745262"/>
                </patternFill>
              </fill>
            </x14:dxf>
          </x14:cfRule>
          <xm:sqref>A48:D57</xm:sqref>
        </x14:conditionalFormatting>
        <x14:conditionalFormatting xmlns:xm="http://schemas.microsoft.com/office/excel/2006/main">
          <x14:cfRule type="expression" priority="2" stopIfTrue="1" id="{6705833E-01DC-49B1-8790-346781EC90E9}">
            <xm:f>$A$11=Paramètres!$A$6</xm:f>
            <x14:dxf>
              <fill>
                <patternFill>
                  <bgColor theme="0" tint="-0.499984740745262"/>
                </patternFill>
              </fill>
            </x14:dxf>
          </x14:cfRule>
          <xm:sqref>A16:E57</xm:sqref>
        </x14:conditionalFormatting>
        <x14:conditionalFormatting xmlns:xm="http://schemas.microsoft.com/office/excel/2006/main">
          <x14:cfRule type="expression" priority="10" id="{BD3E1D49-8DC0-4C46-B923-14CFBCD38E1A}">
            <xm:f>$A$11=Paramètres!$A$4</xm:f>
            <x14:dxf>
              <fill>
                <patternFill>
                  <bgColor theme="0" tint="-0.499984740745262"/>
                </patternFill>
              </fill>
            </x14:dxf>
          </x14:cfRule>
          <xm:sqref>A48:E57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4246F89-04EA-42E9-9A63-AEFC95D6C32E}">
          <x14:formula1>
            <xm:f>Paramètres!$A$3:$A$6</xm:f>
          </x14:formula1>
          <xm:sqref>A11:D11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90456-C9F9-4DBE-B523-803FB382B221}">
  <dimension ref="A1:K101"/>
  <sheetViews>
    <sheetView workbookViewId="0">
      <selection activeCell="A13" sqref="A13:D13"/>
    </sheetView>
  </sheetViews>
  <sheetFormatPr baseColWidth="10" defaultColWidth="11.44140625" defaultRowHeight="14.4" x14ac:dyDescent="0.3"/>
  <cols>
    <col min="1" max="1" width="23.109375" style="2" customWidth="1"/>
    <col min="2" max="2" width="16.109375" style="2" bestFit="1" customWidth="1"/>
    <col min="3" max="3" width="12.6640625" style="2" bestFit="1" customWidth="1"/>
    <col min="4" max="4" width="25" style="2" bestFit="1" customWidth="1"/>
    <col min="5" max="5" width="13" style="2" bestFit="1" customWidth="1"/>
    <col min="6" max="16384" width="11.44140625" style="2"/>
  </cols>
  <sheetData>
    <row r="1" spans="1:11" ht="31.2" x14ac:dyDescent="0.6">
      <c r="A1" s="7" t="s">
        <v>7</v>
      </c>
    </row>
    <row r="3" spans="1:11" ht="21" x14ac:dyDescent="0.4">
      <c r="A3" s="8" t="s">
        <v>10</v>
      </c>
    </row>
    <row r="4" spans="1:11" x14ac:dyDescent="0.3">
      <c r="F4" s="3"/>
      <c r="G4" s="4" t="s">
        <v>24</v>
      </c>
      <c r="H4" s="4" t="s">
        <v>25</v>
      </c>
      <c r="I4" s="4" t="s">
        <v>26</v>
      </c>
      <c r="J4" s="4" t="s">
        <v>27</v>
      </c>
      <c r="K4" s="4" t="s">
        <v>18</v>
      </c>
    </row>
    <row r="5" spans="1:11" x14ac:dyDescent="0.3">
      <c r="F5" s="3" t="s">
        <v>28</v>
      </c>
      <c r="G5" s="26" t="e">
        <f>VLOOKUP(Signalétique!$B$3,'Données communes'!$B:$J,6,FALSE)</f>
        <v>#N/A</v>
      </c>
      <c r="H5" s="26" t="e">
        <f>VLOOKUP(Signalétique!$B$3,'Données communes'!$B:$J,7,FALSE)</f>
        <v>#N/A</v>
      </c>
      <c r="I5" s="26" t="e">
        <f>VLOOKUP(Signalétique!$B$3,'Données communes'!$B:$J,8,FALSE)</f>
        <v>#N/A</v>
      </c>
      <c r="J5" s="26" t="e">
        <f>VLOOKUP(Signalétique!$B$3,'Données communes'!$B:$J,9,FALSE)</f>
        <v>#N/A</v>
      </c>
      <c r="K5" s="26" t="e">
        <f>SUM(G5:J5)</f>
        <v>#N/A</v>
      </c>
    </row>
    <row r="7" spans="1:11" x14ac:dyDescent="0.3">
      <c r="A7" s="4" t="s">
        <v>14</v>
      </c>
      <c r="B7" s="4" t="s">
        <v>15</v>
      </c>
      <c r="D7" s="4" t="s">
        <v>29</v>
      </c>
      <c r="E7" s="4" t="s">
        <v>30</v>
      </c>
      <c r="F7" s="4" t="s">
        <v>31</v>
      </c>
      <c r="G7" s="4" t="s">
        <v>24</v>
      </c>
      <c r="H7" s="4" t="s">
        <v>25</v>
      </c>
      <c r="I7" s="4" t="s">
        <v>26</v>
      </c>
      <c r="J7" s="4" t="s">
        <v>27</v>
      </c>
      <c r="K7" s="4" t="s">
        <v>18</v>
      </c>
    </row>
    <row r="8" spans="1:11" x14ac:dyDescent="0.3">
      <c r="A8" s="4">
        <f>IF('Balayage manuel'!A28="","",'Balayage manuel'!A28)</f>
        <v>0</v>
      </c>
      <c r="B8" s="21" t="str">
        <f>IF('Balayage manuel'!A28="","",IF('Balayage manuel'!$A$25="%",IF(OR('Balayage manuel'!B28="",'Balayage manuel'!B$39=0),"",'Balayage manuel'!B28/'Balayage manuel'!$B$39),IF('Balayage manuel'!$A$25="Km",IF(OR('Balayage manuel'!C28="",'Balayage manuel'!C$39=0),"",'Balayage manuel'!C28/'Balayage manuel'!$C$39),"")))</f>
        <v/>
      </c>
      <c r="C8" s="22"/>
      <c r="D8" s="3">
        <f>MIN(A8:A18)</f>
        <v>0</v>
      </c>
      <c r="E8" s="6">
        <f>IF(D8="","",SUMIFS($B$8:$B$18,$A$8:$A$18,D8))</f>
        <v>0</v>
      </c>
      <c r="F8" s="26" t="e">
        <f>IF(D8="","",E8*$K$5)</f>
        <v>#N/A</v>
      </c>
      <c r="G8" s="26" t="e">
        <f>IF($F8="","",MIN($F8,G$5))</f>
        <v>#N/A</v>
      </c>
      <c r="H8" s="26" t="e">
        <f>IF($F8="","",MAX(0,MIN($F8-SUM($G8:G8),H$5)))</f>
        <v>#N/A</v>
      </c>
      <c r="I8" s="26" t="e">
        <f>IF($F8="","",MAX(0,MIN($F8-SUM($G8:H8),I$5)))</f>
        <v>#N/A</v>
      </c>
      <c r="J8" s="26" t="e">
        <f>IF($F8="","",MAX(0,MIN($F8-SUM($G8:I8),J$5)))</f>
        <v>#N/A</v>
      </c>
      <c r="K8" s="26" t="e">
        <f>SUM(G8:J8)</f>
        <v>#N/A</v>
      </c>
    </row>
    <row r="9" spans="1:11" x14ac:dyDescent="0.3">
      <c r="A9" s="4" t="str">
        <f>IF('Balayage manuel'!A29="","",'Balayage manuel'!A29)</f>
        <v/>
      </c>
      <c r="B9" s="21" t="str">
        <f>IF('Balayage manuel'!A29="","",IF('Balayage manuel'!$A$25="%",IF(OR('Balayage manuel'!B29="",'Balayage manuel'!B$39=0),"",'Balayage manuel'!B29/'Balayage manuel'!$B$39),IF('Balayage manuel'!$A$25="Km",IF(OR('Balayage manuel'!C29="",'Balayage manuel'!C$39=0),"",'Balayage manuel'!C29/'Balayage manuel'!$C$39),"")))</f>
        <v/>
      </c>
      <c r="C9" s="22"/>
      <c r="D9" s="3" t="str">
        <f>IF(D8&lt;MAX($A$8:$A$18),_xlfn.MINIFS($A$8:$A$18,$A$8:$A$18,"&gt;"&amp;D8),"")</f>
        <v/>
      </c>
      <c r="E9" s="6" t="str">
        <f>IF(D9="","",SUMIFS($B$8:$B$18,$A$8:$A$18,D9))</f>
        <v/>
      </c>
      <c r="F9" s="26" t="str">
        <f>IF(D9="","",E9*$K$5)</f>
        <v/>
      </c>
      <c r="G9" s="26" t="str">
        <f>IF($F9="","",MIN($G$5-SUM(G$8:G8),F9))</f>
        <v/>
      </c>
      <c r="H9" s="26" t="str">
        <f>IF($F9="","",MAX(0,MIN($F9-SUM($G9:G9),H$5-SUM(H$8:H8))))</f>
        <v/>
      </c>
      <c r="I9" s="26" t="str">
        <f>IF($F9="","",MAX(0,MIN($F9-SUM($G9:H9),I$5-SUM(I$8:I8))))</f>
        <v/>
      </c>
      <c r="J9" s="26" t="str">
        <f>IF($F9="","",MAX(0,MIN($F9-SUM($G9:I9),J$5-SUM(J$8:J8))))</f>
        <v/>
      </c>
      <c r="K9" s="26">
        <f t="shared" ref="K9:K18" si="0">SUM(G9:J9)</f>
        <v>0</v>
      </c>
    </row>
    <row r="10" spans="1:11" x14ac:dyDescent="0.3">
      <c r="A10" s="4" t="str">
        <f>IF('Balayage manuel'!A30="","",'Balayage manuel'!A30)</f>
        <v/>
      </c>
      <c r="B10" s="21" t="str">
        <f>IF('Balayage manuel'!A30="","",IF('Balayage manuel'!$A$25="%",IF(OR('Balayage manuel'!B30="",'Balayage manuel'!B$39=0),"",'Balayage manuel'!B30/'Balayage manuel'!$B$39),IF('Balayage manuel'!$A$25="Km",IF(OR('Balayage manuel'!C30="",'Balayage manuel'!C$39=0),"",'Balayage manuel'!C30/'Balayage manuel'!$C$39),"")))</f>
        <v/>
      </c>
      <c r="C10" s="22"/>
      <c r="D10" s="3" t="str">
        <f>IF(D9&lt;MAX($A$8:$A$18),_xlfn.MINIFS($A$8:$A$18,$A$8:$A$18,"&gt;"&amp;D9),"")</f>
        <v/>
      </c>
      <c r="E10" s="6" t="str">
        <f>IF(D10="","",SUMIFS($B$8:$B$18,$A$8:$A$18,D10))</f>
        <v/>
      </c>
      <c r="F10" s="26" t="str">
        <f>IF(D10="","",E10*$K$5)</f>
        <v/>
      </c>
      <c r="G10" s="26" t="str">
        <f>IF($F10="","",MIN($G$5-SUM(G$8:G9),F10))</f>
        <v/>
      </c>
      <c r="H10" s="26" t="str">
        <f>IF($F10="","",MAX(0,MIN($F10-SUM($G10:G10),H$5-SUM(H$8:H9))))</f>
        <v/>
      </c>
      <c r="I10" s="26" t="str">
        <f>IF($F10="","",MAX(0,MIN($F10-SUM($G10:H10),I$5-SUM(I$8:I9))))</f>
        <v/>
      </c>
      <c r="J10" s="26" t="str">
        <f>IF($F10="","",MAX(0,MIN($F10-SUM($G10:I10),J$5-SUM(J$8:J9))))</f>
        <v/>
      </c>
      <c r="K10" s="26">
        <f t="shared" si="0"/>
        <v>0</v>
      </c>
    </row>
    <row r="11" spans="1:11" x14ac:dyDescent="0.3">
      <c r="A11" s="4" t="str">
        <f>IF('Balayage manuel'!A31="","",'Balayage manuel'!A31)</f>
        <v/>
      </c>
      <c r="B11" s="21" t="str">
        <f>IF('Balayage manuel'!A31="","",IF('Balayage manuel'!$A$25="%",IF(OR('Balayage manuel'!B31="",'Balayage manuel'!B$39=0),"",'Balayage manuel'!B31/'Balayage manuel'!$B$39),IF('Balayage manuel'!$A$25="Km",IF(OR('Balayage manuel'!C31="",'Balayage manuel'!C$39=0),"",'Balayage manuel'!C31/'Balayage manuel'!$C$39),"")))</f>
        <v/>
      </c>
      <c r="C11" s="22"/>
      <c r="D11" s="3" t="str">
        <f>IF(D10&lt;MAX($A$8:$A$18),_xlfn.MINIFS($A$8:$A$18,$A$8:$A$18,"&gt;"&amp;D10),"")</f>
        <v/>
      </c>
      <c r="E11" s="6" t="str">
        <f>IF(D11="","",SUMIFS($B$8:$B$18,$A$8:$A$18,D11))</f>
        <v/>
      </c>
      <c r="F11" s="26" t="str">
        <f>IF(D11="","",E11*$K$5)</f>
        <v/>
      </c>
      <c r="G11" s="26" t="str">
        <f>IF($F11="","",MIN($G$5-SUM(G$8:G10),F11))</f>
        <v/>
      </c>
      <c r="H11" s="26" t="str">
        <f>IF($F11="","",MAX(0,MIN($F11-SUM($G11:G11),H$5-SUM(H$8:H10))))</f>
        <v/>
      </c>
      <c r="I11" s="26" t="str">
        <f>IF($F11="","",MAX(0,MIN($F11-SUM($G11:H11),I$5-SUM(I$8:I10))))</f>
        <v/>
      </c>
      <c r="J11" s="26" t="str">
        <f>IF($F11="","",MAX(0,MIN($F11-SUM($G11:I11),J$5-SUM(J$8:J10))))</f>
        <v/>
      </c>
      <c r="K11" s="26">
        <f t="shared" si="0"/>
        <v>0</v>
      </c>
    </row>
    <row r="12" spans="1:11" x14ac:dyDescent="0.3">
      <c r="A12" s="4" t="str">
        <f>IF('Balayage manuel'!A32="","",'Balayage manuel'!A32)</f>
        <v/>
      </c>
      <c r="B12" s="21" t="str">
        <f>IF('Balayage manuel'!A32="","",IF('Balayage manuel'!$A$25="%",IF(OR('Balayage manuel'!B32="",'Balayage manuel'!B$39=0),"",'Balayage manuel'!B32/'Balayage manuel'!$B$39),IF('Balayage manuel'!$A$25="Km",IF(OR('Balayage manuel'!C32="",'Balayage manuel'!C$39=0),"",'Balayage manuel'!C32/'Balayage manuel'!$C$39),"")))</f>
        <v/>
      </c>
      <c r="C12" s="22"/>
      <c r="D12" s="3" t="str">
        <f>IF(D11&lt;MAX($A$8:$A$18),_xlfn.MINIFS($A$8:$A$18,$A$8:$A$18,"&gt;"&amp;D11),"")</f>
        <v/>
      </c>
      <c r="E12" s="6" t="str">
        <f>IF(D12="","",SUMIFS($B$8:$B$18,$A$8:$A$18,D12))</f>
        <v/>
      </c>
      <c r="F12" s="26" t="str">
        <f>IF(D12="","",E12*$K$5)</f>
        <v/>
      </c>
      <c r="G12" s="26" t="str">
        <f>IF($F12="","",MIN($G$5-SUM(G$8:G11),F12))</f>
        <v/>
      </c>
      <c r="H12" s="26" t="str">
        <f>IF($F12="","",MAX(0,MIN($F12-SUM($G12:G12),H$5-SUM(H$8:H11))))</f>
        <v/>
      </c>
      <c r="I12" s="26" t="str">
        <f>IF($F12="","",MAX(0,MIN($F12-SUM($G12:H12),I$5-SUM(I$8:I11))))</f>
        <v/>
      </c>
      <c r="J12" s="26" t="str">
        <f>IF($F12="","",MAX(0,MIN($F12-SUM($G12:I12),J$5-SUM(J$8:J11))))</f>
        <v/>
      </c>
      <c r="K12" s="26">
        <f t="shared" si="0"/>
        <v>0</v>
      </c>
    </row>
    <row r="13" spans="1:11" x14ac:dyDescent="0.3">
      <c r="A13" s="4" t="str">
        <f>IF('Balayage manuel'!A33="","",'Balayage manuel'!A33)</f>
        <v/>
      </c>
      <c r="B13" s="21" t="str">
        <f>IF('Balayage manuel'!A33="","",IF('Balayage manuel'!$A$25="%",IF(OR('Balayage manuel'!B33="",'Balayage manuel'!B$39=0),"",'Balayage manuel'!B33/'Balayage manuel'!$B$39),IF('Balayage manuel'!$A$25="Km",IF(OR('Balayage manuel'!C33="",'Balayage manuel'!C$39=0),"",'Balayage manuel'!C33/'Balayage manuel'!$C$39),"")))</f>
        <v/>
      </c>
      <c r="C13" s="22"/>
      <c r="D13" s="3" t="str">
        <f t="shared" ref="D13:D18" si="1">IF(D12&lt;MAX($A$8:$A$18),_xlfn.MINIFS($A$8:$A$18,$A$8:$A$18,"&gt;"&amp;D12),"")</f>
        <v/>
      </c>
      <c r="E13" s="6" t="str">
        <f t="shared" ref="E13:E18" si="2">IF(D13="","",SUMIFS($B$8:$B$18,$A$8:$A$18,D13))</f>
        <v/>
      </c>
      <c r="F13" s="26" t="str">
        <f t="shared" ref="F13:F18" si="3">IF(D13="","",E13*$K$5)</f>
        <v/>
      </c>
      <c r="G13" s="26" t="str">
        <f>IF($F13="","",MIN($G$5-SUM(G$8:G12),F13))</f>
        <v/>
      </c>
      <c r="H13" s="26" t="str">
        <f>IF($F13="","",MAX(0,MIN($F13-SUM($G13:G13),H$5-SUM(H$8:H12))))</f>
        <v/>
      </c>
      <c r="I13" s="26" t="str">
        <f>IF($F13="","",MAX(0,MIN($F13-SUM($G13:H13),I$5-SUM(I$8:I12))))</f>
        <v/>
      </c>
      <c r="J13" s="26" t="str">
        <f>IF($F13="","",MAX(0,MIN($F13-SUM($G13:I13),J$5-SUM(J$8:J12))))</f>
        <v/>
      </c>
      <c r="K13" s="26">
        <f t="shared" si="0"/>
        <v>0</v>
      </c>
    </row>
    <row r="14" spans="1:11" x14ac:dyDescent="0.3">
      <c r="A14" s="4" t="str">
        <f>IF('Balayage manuel'!A34="","",'Balayage manuel'!A34)</f>
        <v/>
      </c>
      <c r="B14" s="21" t="str">
        <f>IF('Balayage manuel'!A34="","",IF('Balayage manuel'!$A$25="%",IF(OR('Balayage manuel'!B34="",'Balayage manuel'!B$39=0),"",'Balayage manuel'!B34/'Balayage manuel'!$B$39),IF('Balayage manuel'!$A$25="Km",IF(OR('Balayage manuel'!C34="",'Balayage manuel'!C$39=0),"",'Balayage manuel'!C34/'Balayage manuel'!$C$39),"")))</f>
        <v/>
      </c>
      <c r="C14" s="22"/>
      <c r="D14" s="3" t="str">
        <f t="shared" si="1"/>
        <v/>
      </c>
      <c r="E14" s="6" t="str">
        <f t="shared" si="2"/>
        <v/>
      </c>
      <c r="F14" s="26" t="str">
        <f t="shared" si="3"/>
        <v/>
      </c>
      <c r="G14" s="26" t="str">
        <f>IF($F14="","",MIN($G$5-SUM(G$8:G13),F14))</f>
        <v/>
      </c>
      <c r="H14" s="26" t="str">
        <f>IF($F14="","",MAX(0,MIN($F14-SUM($G14:G14),H$5-SUM(H$8:H13))))</f>
        <v/>
      </c>
      <c r="I14" s="26" t="str">
        <f>IF($F14="","",MAX(0,MIN($F14-SUM($G14:H14),I$5-SUM(I$8:I13))))</f>
        <v/>
      </c>
      <c r="J14" s="26" t="str">
        <f>IF($F14="","",MAX(0,MIN($F14-SUM($G14:I14),J$5-SUM(J$8:J13))))</f>
        <v/>
      </c>
      <c r="K14" s="26">
        <f t="shared" si="0"/>
        <v>0</v>
      </c>
    </row>
    <row r="15" spans="1:11" x14ac:dyDescent="0.3">
      <c r="A15" s="4" t="str">
        <f>IF('Balayage manuel'!A35="","",'Balayage manuel'!A35)</f>
        <v/>
      </c>
      <c r="B15" s="21" t="str">
        <f>IF('Balayage manuel'!A35="","",IF('Balayage manuel'!$A$25="%",IF(OR('Balayage manuel'!B35="",'Balayage manuel'!B$39=0),"",'Balayage manuel'!B35/'Balayage manuel'!$B$39),IF('Balayage manuel'!$A$25="Km",IF(OR('Balayage manuel'!C35="",'Balayage manuel'!C$39=0),"",'Balayage manuel'!C35/'Balayage manuel'!$C$39),"")))</f>
        <v/>
      </c>
      <c r="C15" s="22"/>
      <c r="D15" s="3" t="str">
        <f t="shared" si="1"/>
        <v/>
      </c>
      <c r="E15" s="6" t="str">
        <f t="shared" si="2"/>
        <v/>
      </c>
      <c r="F15" s="26" t="str">
        <f t="shared" si="3"/>
        <v/>
      </c>
      <c r="G15" s="26" t="str">
        <f>IF($F15="","",MIN($G$5-SUM(G$8:G14),F15))</f>
        <v/>
      </c>
      <c r="H15" s="26" t="str">
        <f>IF($F15="","",MAX(0,MIN($F15-SUM($G15:G15),H$5-SUM(H$8:H14))))</f>
        <v/>
      </c>
      <c r="I15" s="26" t="str">
        <f>IF($F15="","",MAX(0,MIN($F15-SUM($G15:H15),I$5-SUM(I$8:I14))))</f>
        <v/>
      </c>
      <c r="J15" s="26" t="str">
        <f>IF($F15="","",MAX(0,MIN($F15-SUM($G15:I15),J$5-SUM(J$8:J14))))</f>
        <v/>
      </c>
      <c r="K15" s="26">
        <f t="shared" si="0"/>
        <v>0</v>
      </c>
    </row>
    <row r="16" spans="1:11" x14ac:dyDescent="0.3">
      <c r="A16" s="4" t="str">
        <f>IF('Balayage manuel'!A36="","",'Balayage manuel'!A36)</f>
        <v/>
      </c>
      <c r="B16" s="21" t="str">
        <f>IF('Balayage manuel'!A36="","",IF('Balayage manuel'!$A$25="%",IF(OR('Balayage manuel'!B36="",'Balayage manuel'!B$39=0),"",'Balayage manuel'!B36/'Balayage manuel'!$B$39),IF('Balayage manuel'!$A$25="Km",IF(OR('Balayage manuel'!C36="",'Balayage manuel'!C$39=0),"",'Balayage manuel'!C36/'Balayage manuel'!$C$39),"")))</f>
        <v/>
      </c>
      <c r="C16" s="22"/>
      <c r="D16" s="3" t="str">
        <f t="shared" si="1"/>
        <v/>
      </c>
      <c r="E16" s="6" t="str">
        <f t="shared" si="2"/>
        <v/>
      </c>
      <c r="F16" s="26" t="str">
        <f t="shared" si="3"/>
        <v/>
      </c>
      <c r="G16" s="26" t="str">
        <f>IF($F16="","",MIN($G$5-SUM(G$8:G15),F16))</f>
        <v/>
      </c>
      <c r="H16" s="26" t="str">
        <f>IF($F16="","",MAX(0,MIN($F16-SUM($G16:G16),H$5-SUM(H$8:H15))))</f>
        <v/>
      </c>
      <c r="I16" s="26" t="str">
        <f>IF($F16="","",MAX(0,MIN($F16-SUM($G16:H16),I$5-SUM(I$8:I15))))</f>
        <v/>
      </c>
      <c r="J16" s="26" t="str">
        <f>IF($F16="","",MAX(0,MIN($F16-SUM($G16:I16),J$5-SUM(J$8:J15))))</f>
        <v/>
      </c>
      <c r="K16" s="26">
        <f t="shared" si="0"/>
        <v>0</v>
      </c>
    </row>
    <row r="17" spans="1:11" x14ac:dyDescent="0.3">
      <c r="A17" s="4" t="str">
        <f>IF('Balayage manuel'!A37="","",'Balayage manuel'!A37)</f>
        <v/>
      </c>
      <c r="B17" s="21" t="str">
        <f>IF('Balayage manuel'!A37="","",IF('Balayage manuel'!$A$25="%",IF(OR('Balayage manuel'!B37="",'Balayage manuel'!B$39=0),"",'Balayage manuel'!B37/'Balayage manuel'!$B$39),IF('Balayage manuel'!$A$25="Km",IF(OR('Balayage manuel'!C37="",'Balayage manuel'!C$39=0),"",'Balayage manuel'!C37/'Balayage manuel'!$C$39),"")))</f>
        <v/>
      </c>
      <c r="C17" s="22"/>
      <c r="D17" s="3" t="str">
        <f t="shared" si="1"/>
        <v/>
      </c>
      <c r="E17" s="6" t="str">
        <f t="shared" si="2"/>
        <v/>
      </c>
      <c r="F17" s="26" t="str">
        <f t="shared" si="3"/>
        <v/>
      </c>
      <c r="G17" s="26" t="str">
        <f>IF($F17="","",MIN($G$5-SUM(G$8:G16),F17))</f>
        <v/>
      </c>
      <c r="H17" s="26" t="str">
        <f>IF($F17="","",MAX(0,MIN($F17-SUM($G17:G17),H$5-SUM(H$8:H16))))</f>
        <v/>
      </c>
      <c r="I17" s="26" t="str">
        <f>IF($F17="","",MAX(0,MIN($F17-SUM($G17:H17),I$5-SUM(I$8:I16))))</f>
        <v/>
      </c>
      <c r="J17" s="26" t="str">
        <f>IF($F17="","",MAX(0,MIN($F17-SUM($G17:I17),J$5-SUM(J$8:J16))))</f>
        <v/>
      </c>
      <c r="K17" s="26">
        <f t="shared" si="0"/>
        <v>0</v>
      </c>
    </row>
    <row r="18" spans="1:11" x14ac:dyDescent="0.3">
      <c r="A18" s="4" t="str">
        <f>IF('Balayage manuel'!A38="","",'Balayage manuel'!A38)</f>
        <v/>
      </c>
      <c r="B18" s="21" t="str">
        <f>IF('Balayage manuel'!A38="","",IF('Balayage manuel'!$A$25="%",IF(OR('Balayage manuel'!B38="",'Balayage manuel'!B$39=0),"",'Balayage manuel'!B38/'Balayage manuel'!$B$39),IF('Balayage manuel'!$A$25="Km",IF(OR('Balayage manuel'!C38="",'Balayage manuel'!C$39=0),"",'Balayage manuel'!C38/'Balayage manuel'!$C$39),"")))</f>
        <v/>
      </c>
      <c r="C18" s="22"/>
      <c r="D18" s="3" t="str">
        <f t="shared" si="1"/>
        <v/>
      </c>
      <c r="E18" s="6" t="str">
        <f t="shared" si="2"/>
        <v/>
      </c>
      <c r="F18" s="26" t="str">
        <f t="shared" si="3"/>
        <v/>
      </c>
      <c r="G18" s="26" t="str">
        <f>IF($F18="","",MIN($G$5-SUM(G$8:G17),F18))</f>
        <v/>
      </c>
      <c r="H18" s="26" t="str">
        <f>IF($F18="","",MAX(0,MIN($F18-SUM($G18:G18),H$5-SUM(H$8:H17))))</f>
        <v/>
      </c>
      <c r="I18" s="26" t="str">
        <f>IF($F18="","",MAX(0,MIN($F18-SUM($G18:H18),I$5-SUM(I$8:I17))))</f>
        <v/>
      </c>
      <c r="J18" s="26" t="str">
        <f>IF($F18="","",MAX(0,MIN($F18-SUM($G18:I18),J$5-SUM(J$8:J17))))</f>
        <v/>
      </c>
      <c r="K18" s="26">
        <f t="shared" si="0"/>
        <v>0</v>
      </c>
    </row>
    <row r="19" spans="1:11" x14ac:dyDescent="0.3">
      <c r="A19" s="4" t="s">
        <v>18</v>
      </c>
      <c r="B19" s="21">
        <f>SUM(B8:B18)</f>
        <v>0</v>
      </c>
      <c r="C19" s="19"/>
      <c r="D19" s="30" t="s">
        <v>18</v>
      </c>
      <c r="E19" s="23">
        <f>SUM(E8:E18)</f>
        <v>0</v>
      </c>
      <c r="F19" s="26" t="e">
        <f>SUM(F8:F18)</f>
        <v>#N/A</v>
      </c>
      <c r="G19" s="26" t="e">
        <f t="shared" ref="G19:K19" si="4">SUM(G8:G18)</f>
        <v>#N/A</v>
      </c>
      <c r="H19" s="26" t="e">
        <f t="shared" si="4"/>
        <v>#N/A</v>
      </c>
      <c r="I19" s="26" t="e">
        <f t="shared" si="4"/>
        <v>#N/A</v>
      </c>
      <c r="J19" s="26" t="e">
        <f t="shared" si="4"/>
        <v>#N/A</v>
      </c>
      <c r="K19" s="26" t="e">
        <f t="shared" si="4"/>
        <v>#N/A</v>
      </c>
    </row>
    <row r="21" spans="1:11" x14ac:dyDescent="0.3">
      <c r="F21" s="27"/>
      <c r="G21" s="29" t="s">
        <v>24</v>
      </c>
      <c r="H21" s="29" t="s">
        <v>25</v>
      </c>
      <c r="I21" s="29" t="s">
        <v>26</v>
      </c>
      <c r="J21" s="29" t="s">
        <v>27</v>
      </c>
      <c r="K21" s="29" t="s">
        <v>18</v>
      </c>
    </row>
    <row r="22" spans="1:11" x14ac:dyDescent="0.3">
      <c r="F22" s="27" t="s">
        <v>32</v>
      </c>
      <c r="G22" s="28" t="str">
        <f>IFERROR(SUMPRODUCT($D$8:$D$18,G8:G18)/G19,"")</f>
        <v/>
      </c>
      <c r="H22" s="28" t="str">
        <f t="shared" ref="H22:K22" si="5">IFERROR(SUMPRODUCT($D$8:$D$18,H8:H18)/H19,"")</f>
        <v/>
      </c>
      <c r="I22" s="28" t="str">
        <f t="shared" si="5"/>
        <v/>
      </c>
      <c r="J22" s="28" t="str">
        <f t="shared" si="5"/>
        <v/>
      </c>
      <c r="K22" s="28" t="str">
        <f t="shared" si="5"/>
        <v/>
      </c>
    </row>
    <row r="25" spans="1:11" ht="31.2" x14ac:dyDescent="0.6">
      <c r="A25" s="7" t="s">
        <v>569</v>
      </c>
    </row>
    <row r="27" spans="1:11" ht="21" x14ac:dyDescent="0.4">
      <c r="A27" s="8" t="s">
        <v>10</v>
      </c>
    </row>
    <row r="29" spans="1:11" x14ac:dyDescent="0.3">
      <c r="A29" s="4" t="s">
        <v>14</v>
      </c>
      <c r="B29" s="4" t="s">
        <v>15</v>
      </c>
      <c r="D29" s="4" t="s">
        <v>29</v>
      </c>
      <c r="E29" s="4" t="s">
        <v>30</v>
      </c>
      <c r="F29" s="4" t="s">
        <v>31</v>
      </c>
      <c r="G29" s="4" t="s">
        <v>24</v>
      </c>
      <c r="H29" s="4" t="s">
        <v>25</v>
      </c>
      <c r="I29" s="4" t="s">
        <v>26</v>
      </c>
      <c r="J29" s="4" t="s">
        <v>27</v>
      </c>
      <c r="K29" s="4" t="s">
        <v>18</v>
      </c>
    </row>
    <row r="30" spans="1:11" x14ac:dyDescent="0.3">
      <c r="A30" s="4">
        <f>IF('Balayage mécanique'!A30="","",'Balayage mécanique'!A30)</f>
        <v>0</v>
      </c>
      <c r="B30" s="21" t="str">
        <f>IF('Balayage mécanique'!A30="","",IF('Balayage mécanique'!$A$27="%",IF(OR('Balayage mécanique'!B30="",'Balayage mécanique'!B$41=0),"",'Balayage mécanique'!B30/'Balayage mécanique'!$B$41),IF('Balayage mécanique'!$A$27="Km",IF(OR('Balayage mécanique'!C30="",'Balayage mécanique'!C$41=0),"",'Balayage mécanique'!C30/'Balayage mécanique'!$C$41),"")))</f>
        <v/>
      </c>
      <c r="C30" s="22"/>
      <c r="D30" s="3">
        <f>MIN(A30:A40)</f>
        <v>0</v>
      </c>
      <c r="E30" s="6">
        <f>IF(D30="","",SUMIFS($B$30:$B$40,$A$30:$A$40,D30))</f>
        <v>0</v>
      </c>
      <c r="F30" s="26" t="e">
        <f>IF(D30="","",E30*$K$5)</f>
        <v>#N/A</v>
      </c>
      <c r="G30" s="26" t="e">
        <f>IF($F30="","",MIN($F30,G$5))</f>
        <v>#N/A</v>
      </c>
      <c r="H30" s="26" t="e">
        <f>IF($F30="","",MAX(0,MIN($F30-SUM($G30:G30),H$5)))</f>
        <v>#N/A</v>
      </c>
      <c r="I30" s="26" t="e">
        <f>IF($F30="","",MAX(0,MIN($F30-SUM($G30:H30),I$5)))</f>
        <v>#N/A</v>
      </c>
      <c r="J30" s="26" t="e">
        <f>IF($F30="","",MAX(0,MIN($F30-SUM($G30:I30),J$5)))</f>
        <v>#N/A</v>
      </c>
      <c r="K30" s="26" t="e">
        <f>SUM(G30:J30)</f>
        <v>#N/A</v>
      </c>
    </row>
    <row r="31" spans="1:11" x14ac:dyDescent="0.3">
      <c r="A31" s="4" t="str">
        <f>IF('Balayage mécanique'!A31="","",'Balayage mécanique'!A31)</f>
        <v/>
      </c>
      <c r="B31" s="21" t="str">
        <f>IF('Balayage mécanique'!A31="","",IF('Balayage mécanique'!$A$27="%",IF(OR('Balayage mécanique'!B31="",'Balayage mécanique'!B$41=0),"",'Balayage mécanique'!B31/'Balayage mécanique'!$B$41),IF('Balayage mécanique'!$A$27="Km",IF(OR('Balayage mécanique'!C31="",'Balayage mécanique'!C$41=0),"",'Balayage mécanique'!C31/'Balayage mécanique'!$C$41),"")))</f>
        <v/>
      </c>
      <c r="C31" s="22"/>
      <c r="D31" s="3" t="str">
        <f>IF(D30&lt;MAX($A$30:$A$40),_xlfn.MINIFS($A$30:$A$40,$A$30:$A$40,"&gt;"&amp;D30),"")</f>
        <v/>
      </c>
      <c r="E31" s="6" t="str">
        <f t="shared" ref="E31:E40" si="6">IF(D31="","",SUMIFS($B$30:$B$40,$A$30:$A$40,D31))</f>
        <v/>
      </c>
      <c r="F31" s="26" t="str">
        <f>IF(D31="","",E31*$K$5)</f>
        <v/>
      </c>
      <c r="G31" s="26" t="str">
        <f>IF($F31="","",MIN($G$5-SUM(G$30:G30),F31))</f>
        <v/>
      </c>
      <c r="H31" s="26" t="str">
        <f>IF($F31="","",MAX(0,MIN($F31-SUM($G31:G31),H$5-SUM(H$30:H30))))</f>
        <v/>
      </c>
      <c r="I31" s="26" t="str">
        <f>IF($F31="","",MAX(0,MIN($F31-SUM($G31:H31),I$5-SUM(I$30:I30))))</f>
        <v/>
      </c>
      <c r="J31" s="26" t="str">
        <f>IF($F31="","",MAX(0,MIN($F31-SUM($G31:I31),J$5-SUM(J$30:J30))))</f>
        <v/>
      </c>
      <c r="K31" s="26">
        <f t="shared" ref="K31:K40" si="7">SUM(G31:J31)</f>
        <v>0</v>
      </c>
    </row>
    <row r="32" spans="1:11" x14ac:dyDescent="0.3">
      <c r="A32" s="4" t="str">
        <f>IF('Balayage mécanique'!A32="","",'Balayage mécanique'!A32)</f>
        <v/>
      </c>
      <c r="B32" s="21" t="str">
        <f>IF('Balayage mécanique'!A32="","",IF('Balayage mécanique'!$A$27="%",IF(OR('Balayage mécanique'!B32="",'Balayage mécanique'!B$41=0),"",'Balayage mécanique'!B32/'Balayage mécanique'!$B$41),IF('Balayage mécanique'!$A$27="Km",IF(OR('Balayage mécanique'!C32="",'Balayage mécanique'!C$41=0),"",'Balayage mécanique'!C32/'Balayage mécanique'!$C$41),"")))</f>
        <v/>
      </c>
      <c r="C32" s="22"/>
      <c r="D32" s="3" t="str">
        <f t="shared" ref="D32:D40" si="8">IF(D31&lt;MAX($A$30:$A$40),_xlfn.MINIFS($A$30:$A$40,$A$30:$A$40,"&gt;"&amp;D31),"")</f>
        <v/>
      </c>
      <c r="E32" s="6" t="str">
        <f t="shared" si="6"/>
        <v/>
      </c>
      <c r="F32" s="26" t="str">
        <f>IF(D32="","",E32*$K$5)</f>
        <v/>
      </c>
      <c r="G32" s="26" t="str">
        <f>IF($F32="","",MIN($G$5-SUM(G$30:G31),F32))</f>
        <v/>
      </c>
      <c r="H32" s="26" t="str">
        <f>IF($F32="","",MAX(0,MIN($F32-SUM($G32:G32),H$5-SUM(H$30:H31))))</f>
        <v/>
      </c>
      <c r="I32" s="26" t="str">
        <f>IF($F32="","",MAX(0,MIN($F32-SUM($G32:H32),I$5-SUM(I$30:I31))))</f>
        <v/>
      </c>
      <c r="J32" s="26" t="str">
        <f>IF($F32="","",MAX(0,MIN($F32-SUM($G32:I32),J$5-SUM(J$30:J31))))</f>
        <v/>
      </c>
      <c r="K32" s="26">
        <f t="shared" si="7"/>
        <v>0</v>
      </c>
    </row>
    <row r="33" spans="1:11" x14ac:dyDescent="0.3">
      <c r="A33" s="4" t="str">
        <f>IF('Balayage mécanique'!A33="","",'Balayage mécanique'!A33)</f>
        <v/>
      </c>
      <c r="B33" s="21" t="str">
        <f>IF('Balayage mécanique'!A33="","",IF('Balayage mécanique'!$A$27="%",IF(OR('Balayage mécanique'!B33="",'Balayage mécanique'!B$41=0),"",'Balayage mécanique'!B33/'Balayage mécanique'!$B$41),IF('Balayage mécanique'!$A$27="Km",IF(OR('Balayage mécanique'!C33="",'Balayage mécanique'!C$41=0),"",'Balayage mécanique'!C33/'Balayage mécanique'!$C$41),"")))</f>
        <v/>
      </c>
      <c r="C33" s="22"/>
      <c r="D33" s="3" t="str">
        <f t="shared" si="8"/>
        <v/>
      </c>
      <c r="E33" s="6" t="str">
        <f t="shared" si="6"/>
        <v/>
      </c>
      <c r="F33" s="26" t="str">
        <f>IF(D33="","",E33*$K$5)</f>
        <v/>
      </c>
      <c r="G33" s="26" t="str">
        <f>IF($F33="","",MIN($G$5-SUM(G$30:G32),F33))</f>
        <v/>
      </c>
      <c r="H33" s="26" t="str">
        <f>IF($F33="","",MAX(0,MIN($F33-SUM($G33:G33),H$5-SUM(H$30:H32))))</f>
        <v/>
      </c>
      <c r="I33" s="26" t="str">
        <f>IF($F33="","",MAX(0,MIN($F33-SUM($G33:H33),I$5-SUM(I$30:I32))))</f>
        <v/>
      </c>
      <c r="J33" s="26" t="str">
        <f>IF($F33="","",MAX(0,MIN($F33-SUM($G33:I33),J$5-SUM(J$30:J32))))</f>
        <v/>
      </c>
      <c r="K33" s="26">
        <f t="shared" si="7"/>
        <v>0</v>
      </c>
    </row>
    <row r="34" spans="1:11" x14ac:dyDescent="0.3">
      <c r="A34" s="4" t="str">
        <f>IF('Balayage mécanique'!A34="","",'Balayage mécanique'!A34)</f>
        <v/>
      </c>
      <c r="B34" s="21" t="str">
        <f>IF('Balayage mécanique'!A34="","",IF('Balayage mécanique'!$A$27="%",IF(OR('Balayage mécanique'!B34="",'Balayage mécanique'!B$41=0),"",'Balayage mécanique'!B34/'Balayage mécanique'!$B$41),IF('Balayage mécanique'!$A$27="Km",IF(OR('Balayage mécanique'!C34="",'Balayage mécanique'!C$41=0),"",'Balayage mécanique'!C34/'Balayage mécanique'!$C$41),"")))</f>
        <v/>
      </c>
      <c r="C34" s="22"/>
      <c r="D34" s="3" t="str">
        <f t="shared" si="8"/>
        <v/>
      </c>
      <c r="E34" s="6" t="str">
        <f t="shared" si="6"/>
        <v/>
      </c>
      <c r="F34" s="26" t="str">
        <f>IF(D34="","",E34*$K$5)</f>
        <v/>
      </c>
      <c r="G34" s="26" t="str">
        <f>IF($F34="","",MIN($G$5-SUM(G$30:G33),F34))</f>
        <v/>
      </c>
      <c r="H34" s="26" t="str">
        <f>IF($F34="","",MAX(0,MIN($F34-SUM($G34:G34),H$5-SUM(H$30:H33))))</f>
        <v/>
      </c>
      <c r="I34" s="26" t="str">
        <f>IF($F34="","",MAX(0,MIN($F34-SUM($G34:H34),I$5-SUM(I$30:I33))))</f>
        <v/>
      </c>
      <c r="J34" s="26" t="str">
        <f>IF($F34="","",MAX(0,MIN($F34-SUM($G34:I34),J$5-SUM(J$30:J33))))</f>
        <v/>
      </c>
      <c r="K34" s="26">
        <f t="shared" si="7"/>
        <v>0</v>
      </c>
    </row>
    <row r="35" spans="1:11" x14ac:dyDescent="0.3">
      <c r="A35" s="4" t="str">
        <f>IF('Balayage mécanique'!A35="","",'Balayage mécanique'!A35)</f>
        <v/>
      </c>
      <c r="B35" s="21" t="str">
        <f>IF('Balayage mécanique'!A35="","",IF('Balayage mécanique'!$A$27="%",IF(OR('Balayage mécanique'!B35="",'Balayage mécanique'!B$41=0),"",'Balayage mécanique'!B35/'Balayage mécanique'!$B$41),IF('Balayage mécanique'!$A$27="Km",IF(OR('Balayage mécanique'!C35="",'Balayage mécanique'!C$41=0),"",'Balayage mécanique'!C35/'Balayage mécanique'!$C$41),"")))</f>
        <v/>
      </c>
      <c r="C35" s="22"/>
      <c r="D35" s="3" t="str">
        <f t="shared" si="8"/>
        <v/>
      </c>
      <c r="E35" s="6" t="str">
        <f t="shared" si="6"/>
        <v/>
      </c>
      <c r="F35" s="26" t="str">
        <f t="shared" ref="F35:F40" si="9">IF(D35="","",E35*$K$5)</f>
        <v/>
      </c>
      <c r="G35" s="26" t="str">
        <f>IF($F35="","",MIN($G$5-SUM(G$30:G34),F35))</f>
        <v/>
      </c>
      <c r="H35" s="26" t="str">
        <f>IF($F35="","",MAX(0,MIN($F35-SUM($G35:G35),H$5-SUM(H$30:H34))))</f>
        <v/>
      </c>
      <c r="I35" s="26" t="str">
        <f>IF($F35="","",MAX(0,MIN($F35-SUM($G35:H35),I$5-SUM(I$30:I34))))</f>
        <v/>
      </c>
      <c r="J35" s="26" t="str">
        <f>IF($F35="","",MAX(0,MIN($F35-SUM($G35:I35),J$5-SUM(J$30:J34))))</f>
        <v/>
      </c>
      <c r="K35" s="26">
        <f t="shared" si="7"/>
        <v>0</v>
      </c>
    </row>
    <row r="36" spans="1:11" x14ac:dyDescent="0.3">
      <c r="A36" s="4" t="str">
        <f>IF('Balayage mécanique'!A36="","",'Balayage mécanique'!A36)</f>
        <v/>
      </c>
      <c r="B36" s="21" t="str">
        <f>IF('Balayage mécanique'!A36="","",IF('Balayage mécanique'!$A$27="%",IF(OR('Balayage mécanique'!B36="",'Balayage mécanique'!B$41=0),"",'Balayage mécanique'!B36/'Balayage mécanique'!$B$41),IF('Balayage mécanique'!$A$27="Km",IF(OR('Balayage mécanique'!C36="",'Balayage mécanique'!C$41=0),"",'Balayage mécanique'!C36/'Balayage mécanique'!$C$41),"")))</f>
        <v/>
      </c>
      <c r="C36" s="22"/>
      <c r="D36" s="3" t="str">
        <f t="shared" si="8"/>
        <v/>
      </c>
      <c r="E36" s="6" t="str">
        <f t="shared" si="6"/>
        <v/>
      </c>
      <c r="F36" s="26" t="str">
        <f t="shared" si="9"/>
        <v/>
      </c>
      <c r="G36" s="26" t="str">
        <f>IF($F36="","",MIN($G$5-SUM(G$30:G35),F36))</f>
        <v/>
      </c>
      <c r="H36" s="26" t="str">
        <f>IF($F36="","",MAX(0,MIN($F36-SUM($G36:G36),H$5-SUM(H$30:H35))))</f>
        <v/>
      </c>
      <c r="I36" s="26" t="str">
        <f>IF($F36="","",MAX(0,MIN($F36-SUM($G36:H36),I$5-SUM(I$30:I35))))</f>
        <v/>
      </c>
      <c r="J36" s="26" t="str">
        <f>IF($F36="","",MAX(0,MIN($F36-SUM($G36:I36),J$5-SUM(J$30:J35))))</f>
        <v/>
      </c>
      <c r="K36" s="26">
        <f t="shared" si="7"/>
        <v>0</v>
      </c>
    </row>
    <row r="37" spans="1:11" x14ac:dyDescent="0.3">
      <c r="A37" s="4" t="str">
        <f>IF('Balayage mécanique'!A37="","",'Balayage mécanique'!A37)</f>
        <v/>
      </c>
      <c r="B37" s="21" t="str">
        <f>IF('Balayage mécanique'!A37="","",IF('Balayage mécanique'!$A$27="%",IF(OR('Balayage mécanique'!B37="",'Balayage mécanique'!B$41=0),"",'Balayage mécanique'!B37/'Balayage mécanique'!$B$41),IF('Balayage mécanique'!$A$27="Km",IF(OR('Balayage mécanique'!C37="",'Balayage mécanique'!C$41=0),"",'Balayage mécanique'!C37/'Balayage mécanique'!$C$41),"")))</f>
        <v/>
      </c>
      <c r="C37" s="22"/>
      <c r="D37" s="3" t="str">
        <f t="shared" si="8"/>
        <v/>
      </c>
      <c r="E37" s="6" t="str">
        <f t="shared" si="6"/>
        <v/>
      </c>
      <c r="F37" s="26" t="str">
        <f t="shared" si="9"/>
        <v/>
      </c>
      <c r="G37" s="26" t="str">
        <f>IF($F37="","",MIN($G$5-SUM(G$30:G36),F37))</f>
        <v/>
      </c>
      <c r="H37" s="26" t="str">
        <f>IF($F37="","",MAX(0,MIN($F37-SUM($G37:G37),H$5-SUM(H$30:H36))))</f>
        <v/>
      </c>
      <c r="I37" s="26" t="str">
        <f>IF($F37="","",MAX(0,MIN($F37-SUM($G37:H37),I$5-SUM(I$30:I36))))</f>
        <v/>
      </c>
      <c r="J37" s="26" t="str">
        <f>IF($F37="","",MAX(0,MIN($F37-SUM($G37:I37),J$5-SUM(J$30:J36))))</f>
        <v/>
      </c>
      <c r="K37" s="26">
        <f t="shared" si="7"/>
        <v>0</v>
      </c>
    </row>
    <row r="38" spans="1:11" x14ac:dyDescent="0.3">
      <c r="A38" s="4" t="str">
        <f>IF('Balayage mécanique'!A38="","",'Balayage mécanique'!A38)</f>
        <v/>
      </c>
      <c r="B38" s="21" t="str">
        <f>IF('Balayage mécanique'!A38="","",IF('Balayage mécanique'!$A$27="%",IF(OR('Balayage mécanique'!B38="",'Balayage mécanique'!B$41=0),"",'Balayage mécanique'!B38/'Balayage mécanique'!$B$41),IF('Balayage mécanique'!$A$27="Km",IF(OR('Balayage mécanique'!C38="",'Balayage mécanique'!C$41=0),"",'Balayage mécanique'!C38/'Balayage mécanique'!$C$41),"")))</f>
        <v/>
      </c>
      <c r="C38" s="22"/>
      <c r="D38" s="3" t="str">
        <f t="shared" si="8"/>
        <v/>
      </c>
      <c r="E38" s="6" t="str">
        <f t="shared" si="6"/>
        <v/>
      </c>
      <c r="F38" s="26" t="str">
        <f t="shared" si="9"/>
        <v/>
      </c>
      <c r="G38" s="26" t="str">
        <f>IF($F38="","",MIN($G$5-SUM(G$30:G37),F38))</f>
        <v/>
      </c>
      <c r="H38" s="26" t="str">
        <f>IF($F38="","",MAX(0,MIN($F38-SUM($G38:G38),H$5-SUM(H$30:H37))))</f>
        <v/>
      </c>
      <c r="I38" s="26" t="str">
        <f>IF($F38="","",MAX(0,MIN($F38-SUM($G38:H38),I$5-SUM(I$30:I37))))</f>
        <v/>
      </c>
      <c r="J38" s="26" t="str">
        <f>IF($F38="","",MAX(0,MIN($F38-SUM($G38:I38),J$5-SUM(J$30:J37))))</f>
        <v/>
      </c>
      <c r="K38" s="26">
        <f t="shared" si="7"/>
        <v>0</v>
      </c>
    </row>
    <row r="39" spans="1:11" x14ac:dyDescent="0.3">
      <c r="A39" s="4" t="str">
        <f>IF('Balayage mécanique'!A39="","",'Balayage mécanique'!A39)</f>
        <v/>
      </c>
      <c r="B39" s="21" t="str">
        <f>IF('Balayage mécanique'!A39="","",IF('Balayage mécanique'!$A$27="%",IF(OR('Balayage mécanique'!B39="",'Balayage mécanique'!B$41=0),"",'Balayage mécanique'!B39/'Balayage mécanique'!$B$41),IF('Balayage mécanique'!$A$27="Km",IF(OR('Balayage mécanique'!C39="",'Balayage mécanique'!C$41=0),"",'Balayage mécanique'!C39/'Balayage mécanique'!$C$41),"")))</f>
        <v/>
      </c>
      <c r="C39" s="22"/>
      <c r="D39" s="3" t="str">
        <f t="shared" si="8"/>
        <v/>
      </c>
      <c r="E39" s="6" t="str">
        <f t="shared" si="6"/>
        <v/>
      </c>
      <c r="F39" s="26" t="str">
        <f t="shared" si="9"/>
        <v/>
      </c>
      <c r="G39" s="26" t="str">
        <f>IF($F39="","",MIN($G$5-SUM(G$30:G38),F39))</f>
        <v/>
      </c>
      <c r="H39" s="26" t="str">
        <f>IF($F39="","",MAX(0,MIN($F39-SUM($G39:G39),H$5-SUM(H$30:H38))))</f>
        <v/>
      </c>
      <c r="I39" s="26" t="str">
        <f>IF($F39="","",MAX(0,MIN($F39-SUM($G39:H39),I$5-SUM(I$30:I38))))</f>
        <v/>
      </c>
      <c r="J39" s="26" t="str">
        <f>IF($F39="","",MAX(0,MIN($F39-SUM($G39:I39),J$5-SUM(J$30:J38))))</f>
        <v/>
      </c>
      <c r="K39" s="26">
        <f t="shared" si="7"/>
        <v>0</v>
      </c>
    </row>
    <row r="40" spans="1:11" x14ac:dyDescent="0.3">
      <c r="A40" s="4" t="str">
        <f>IF('Balayage mécanique'!A40="","",'Balayage mécanique'!A40)</f>
        <v/>
      </c>
      <c r="B40" s="21" t="str">
        <f>IF('Balayage mécanique'!A40="","",IF('Balayage mécanique'!$A$27="%",IF(OR('Balayage mécanique'!B40="",'Balayage mécanique'!B$41=0),"",'Balayage mécanique'!B40/'Balayage mécanique'!$B$41),IF('Balayage mécanique'!$A$27="Km",IF(OR('Balayage mécanique'!C40="",'Balayage mécanique'!C$41=0),"",'Balayage mécanique'!C40/'Balayage mécanique'!$C$41),"")))</f>
        <v/>
      </c>
      <c r="C40" s="22"/>
      <c r="D40" s="3" t="str">
        <f t="shared" si="8"/>
        <v/>
      </c>
      <c r="E40" s="6" t="str">
        <f t="shared" si="6"/>
        <v/>
      </c>
      <c r="F40" s="26" t="str">
        <f t="shared" si="9"/>
        <v/>
      </c>
      <c r="G40" s="26" t="str">
        <f>IF($F40="","",MIN($G$5-SUM(G$30:G39),F40))</f>
        <v/>
      </c>
      <c r="H40" s="26" t="str">
        <f>IF($F40="","",MAX(0,MIN($F40-SUM($G40:G40),H$5-SUM(H$30:H39))))</f>
        <v/>
      </c>
      <c r="I40" s="26" t="str">
        <f>IF($F40="","",MAX(0,MIN($F40-SUM($G40:H40),I$5-SUM(I$30:I39))))</f>
        <v/>
      </c>
      <c r="J40" s="26" t="str">
        <f>IF($F40="","",MAX(0,MIN($F40-SUM($G40:I40),J$5-SUM(J$30:J39))))</f>
        <v/>
      </c>
      <c r="K40" s="26">
        <f t="shared" si="7"/>
        <v>0</v>
      </c>
    </row>
    <row r="41" spans="1:11" x14ac:dyDescent="0.3">
      <c r="A41" s="4" t="s">
        <v>18</v>
      </c>
      <c r="B41" s="21">
        <f>SUM(B30:B40)</f>
        <v>0</v>
      </c>
      <c r="C41" s="19"/>
      <c r="D41" s="30" t="s">
        <v>18</v>
      </c>
      <c r="E41" s="23">
        <f>SUM(E30:E40)</f>
        <v>0</v>
      </c>
      <c r="F41" s="26" t="e">
        <f>SUM(F30:F40)</f>
        <v>#N/A</v>
      </c>
      <c r="G41" s="26" t="e">
        <f t="shared" ref="G41" si="10">SUM(G30:G40)</f>
        <v>#N/A</v>
      </c>
      <c r="H41" s="26" t="e">
        <f t="shared" ref="H41" si="11">SUM(H30:H40)</f>
        <v>#N/A</v>
      </c>
      <c r="I41" s="26" t="e">
        <f t="shared" ref="I41" si="12">SUM(I30:I40)</f>
        <v>#N/A</v>
      </c>
      <c r="J41" s="26" t="e">
        <f t="shared" ref="J41" si="13">SUM(J30:J40)</f>
        <v>#N/A</v>
      </c>
      <c r="K41" s="26" t="e">
        <f t="shared" ref="K41" si="14">SUM(K30:K40)</f>
        <v>#N/A</v>
      </c>
    </row>
    <row r="43" spans="1:11" x14ac:dyDescent="0.3">
      <c r="F43" s="27"/>
      <c r="G43" s="29" t="s">
        <v>24</v>
      </c>
      <c r="H43" s="29" t="s">
        <v>25</v>
      </c>
      <c r="I43" s="29" t="s">
        <v>26</v>
      </c>
      <c r="J43" s="29" t="s">
        <v>27</v>
      </c>
      <c r="K43" s="29" t="s">
        <v>18</v>
      </c>
    </row>
    <row r="44" spans="1:11" x14ac:dyDescent="0.3">
      <c r="F44" s="27" t="s">
        <v>32</v>
      </c>
      <c r="G44" s="28" t="str">
        <f>IFERROR(SUMPRODUCT($D$30:$D$40,G30:G40)/G41,"")</f>
        <v/>
      </c>
      <c r="H44" s="28" t="str">
        <f t="shared" ref="H44:K44" si="15">IFERROR(SUMPRODUCT($D$30:$D$40,H30:H40)/H41,"")</f>
        <v/>
      </c>
      <c r="I44" s="28" t="str">
        <f t="shared" si="15"/>
        <v/>
      </c>
      <c r="J44" s="28" t="str">
        <f t="shared" si="15"/>
        <v/>
      </c>
      <c r="K44" s="28" t="str">
        <f t="shared" si="15"/>
        <v/>
      </c>
    </row>
    <row r="50" spans="1:2" ht="31.2" x14ac:dyDescent="0.6">
      <c r="A50" s="7" t="s">
        <v>632</v>
      </c>
    </row>
    <row r="52" spans="1:2" ht="21" x14ac:dyDescent="0.4">
      <c r="A52" s="8" t="s">
        <v>615</v>
      </c>
    </row>
    <row r="54" spans="1:2" x14ac:dyDescent="0.3">
      <c r="A54" s="4" t="s">
        <v>14</v>
      </c>
      <c r="B54" s="4" t="s">
        <v>633</v>
      </c>
    </row>
    <row r="55" spans="1:2" x14ac:dyDescent="0.3">
      <c r="A55" s="4" t="str">
        <f>IF('Infrastructures de collecte'!A37="","",'Infrastructures de collecte'!A37)</f>
        <v/>
      </c>
      <c r="B55" s="21" t="str">
        <f>IF('Infrastructures de collecte'!A37="","",IF('Infrastructures de collecte'!$A$34="%",IF(OR('Infrastructures de collecte'!B37="",'Infrastructures de collecte'!B$47=0),"",'Infrastructures de collecte'!B37/'Infrastructures de collecte'!$B$47),IF('Infrastructures de collecte'!$A$34="Km",IF(OR('Infrastructures de collecte'!C37="",'Infrastructures de collecte'!C$47=0),"",'Infrastructures de collecte'!C37/'Infrastructures de collecte'!$C$47),"")))</f>
        <v/>
      </c>
    </row>
    <row r="56" spans="1:2" x14ac:dyDescent="0.3">
      <c r="A56" s="4" t="str">
        <f>IF('Infrastructures de collecte'!A38="","",'Infrastructures de collecte'!A38)</f>
        <v/>
      </c>
      <c r="B56" s="21" t="str">
        <f>IF('Infrastructures de collecte'!A38="","",IF('Infrastructures de collecte'!$A$34="%",IF(OR('Infrastructures de collecte'!B38="",'Infrastructures de collecte'!B$47=0),"",'Infrastructures de collecte'!B38/'Infrastructures de collecte'!$B$47),IF('Infrastructures de collecte'!$A$34="Km",IF(OR('Infrastructures de collecte'!C38="",'Infrastructures de collecte'!C$47=0),"",'Infrastructures de collecte'!C38/'Infrastructures de collecte'!$C$47),"")))</f>
        <v/>
      </c>
    </row>
    <row r="57" spans="1:2" x14ac:dyDescent="0.3">
      <c r="A57" s="4" t="str">
        <f>IF('Infrastructures de collecte'!A39="","",'Infrastructures de collecte'!A39)</f>
        <v/>
      </c>
      <c r="B57" s="21" t="str">
        <f>IF('Infrastructures de collecte'!A39="","",IF('Infrastructures de collecte'!$A$34="%",IF(OR('Infrastructures de collecte'!B39="",'Infrastructures de collecte'!B$47=0),"",'Infrastructures de collecte'!B39/'Infrastructures de collecte'!$B$47),IF('Infrastructures de collecte'!$A$34="Km",IF(OR('Infrastructures de collecte'!C39="",'Infrastructures de collecte'!C$47=0),"",'Infrastructures de collecte'!C39/'Infrastructures de collecte'!$C$47),"")))</f>
        <v/>
      </c>
    </row>
    <row r="58" spans="1:2" x14ac:dyDescent="0.3">
      <c r="A58" s="4" t="str">
        <f>IF('Infrastructures de collecte'!A40="","",'Infrastructures de collecte'!A40)</f>
        <v/>
      </c>
      <c r="B58" s="21" t="str">
        <f>IF('Infrastructures de collecte'!A40="","",IF('Infrastructures de collecte'!$A$34="%",IF(OR('Infrastructures de collecte'!B40="",'Infrastructures de collecte'!B$47=0),"",'Infrastructures de collecte'!B40/'Infrastructures de collecte'!$B$47),IF('Infrastructures de collecte'!$A$34="Km",IF(OR('Infrastructures de collecte'!C40="",'Infrastructures de collecte'!C$47=0),"",'Infrastructures de collecte'!C40/'Infrastructures de collecte'!$C$47),"")))</f>
        <v/>
      </c>
    </row>
    <row r="59" spans="1:2" x14ac:dyDescent="0.3">
      <c r="A59" s="4" t="str">
        <f>IF('Infrastructures de collecte'!A41="","",'Infrastructures de collecte'!A41)</f>
        <v/>
      </c>
      <c r="B59" s="21" t="str">
        <f>IF('Infrastructures de collecte'!A41="","",IF('Infrastructures de collecte'!$A$34="%",IF(OR('Infrastructures de collecte'!B41="",'Infrastructures de collecte'!B$47=0),"",'Infrastructures de collecte'!B41/'Infrastructures de collecte'!$B$47),IF('Infrastructures de collecte'!$A$34="Km",IF(OR('Infrastructures de collecte'!C41="",'Infrastructures de collecte'!C$47=0),"",'Infrastructures de collecte'!C41/'Infrastructures de collecte'!$C$47),"")))</f>
        <v/>
      </c>
    </row>
    <row r="60" spans="1:2" x14ac:dyDescent="0.3">
      <c r="A60" s="4" t="str">
        <f>IF('Infrastructures de collecte'!A42="","",'Infrastructures de collecte'!A42)</f>
        <v/>
      </c>
      <c r="B60" s="21" t="str">
        <f>IF('Infrastructures de collecte'!A42="","",IF('Infrastructures de collecte'!$A$34="%",IF(OR('Infrastructures de collecte'!B42="",'Infrastructures de collecte'!B$47=0),"",'Infrastructures de collecte'!B42/'Infrastructures de collecte'!$B$47),IF('Infrastructures de collecte'!$A$34="Km",IF(OR('Infrastructures de collecte'!C42="",'Infrastructures de collecte'!C$47=0),"",'Infrastructures de collecte'!C42/'Infrastructures de collecte'!$C$47),"")))</f>
        <v/>
      </c>
    </row>
    <row r="61" spans="1:2" x14ac:dyDescent="0.3">
      <c r="A61" s="4" t="str">
        <f>IF('Infrastructures de collecte'!A43="","",'Infrastructures de collecte'!A43)</f>
        <v/>
      </c>
      <c r="B61" s="21" t="str">
        <f>IF('Infrastructures de collecte'!A43="","",IF('Infrastructures de collecte'!$A$34="%",IF(OR('Infrastructures de collecte'!B43="",'Infrastructures de collecte'!B$47=0),"",'Infrastructures de collecte'!B43/'Infrastructures de collecte'!$B$47),IF('Infrastructures de collecte'!$A$34="Km",IF(OR('Infrastructures de collecte'!C43="",'Infrastructures de collecte'!C$47=0),"",'Infrastructures de collecte'!C43/'Infrastructures de collecte'!$C$47),"")))</f>
        <v/>
      </c>
    </row>
    <row r="62" spans="1:2" x14ac:dyDescent="0.3">
      <c r="A62" s="4" t="str">
        <f>IF('Infrastructures de collecte'!A44="","",'Infrastructures de collecte'!A44)</f>
        <v/>
      </c>
      <c r="B62" s="21" t="str">
        <f>IF('Infrastructures de collecte'!A44="","",IF('Infrastructures de collecte'!$A$34="%",IF(OR('Infrastructures de collecte'!B44="",'Infrastructures de collecte'!B$47=0),"",'Infrastructures de collecte'!B44/'Infrastructures de collecte'!$B$47),IF('Infrastructures de collecte'!$A$34="Km",IF(OR('Infrastructures de collecte'!C44="",'Infrastructures de collecte'!C$47=0),"",'Infrastructures de collecte'!C44/'Infrastructures de collecte'!$C$47),"")))</f>
        <v/>
      </c>
    </row>
    <row r="63" spans="1:2" x14ac:dyDescent="0.3">
      <c r="A63" s="4" t="str">
        <f>IF('Infrastructures de collecte'!A45="","",'Infrastructures de collecte'!A45)</f>
        <v/>
      </c>
      <c r="B63" s="21" t="str">
        <f>IF('Infrastructures de collecte'!A45="","",IF('Infrastructures de collecte'!$A$34="%",IF(OR('Infrastructures de collecte'!B45="",'Infrastructures de collecte'!B$47=0),"",'Infrastructures de collecte'!B45/'Infrastructures de collecte'!$B$47),IF('Infrastructures de collecte'!$A$34="Km",IF(OR('Infrastructures de collecte'!C45="",'Infrastructures de collecte'!C$47=0),"",'Infrastructures de collecte'!C45/'Infrastructures de collecte'!$C$47),"")))</f>
        <v/>
      </c>
    </row>
    <row r="64" spans="1:2" x14ac:dyDescent="0.3">
      <c r="A64" s="4" t="str">
        <f>IF('Infrastructures de collecte'!A46="","",'Infrastructures de collecte'!A46)</f>
        <v/>
      </c>
      <c r="B64" s="21" t="str">
        <f>IF('Infrastructures de collecte'!A46="","",IF('Infrastructures de collecte'!$A$34="%",IF(OR('Infrastructures de collecte'!B46="",'Infrastructures de collecte'!B$47=0),"",'Infrastructures de collecte'!B46/'Infrastructures de collecte'!$B$47),IF('Infrastructures de collecte'!$A$34="Km",IF(OR('Infrastructures de collecte'!C46="",'Infrastructures de collecte'!C$47=0),"",'Infrastructures de collecte'!C46/'Infrastructures de collecte'!$C$47),"")))</f>
        <v/>
      </c>
    </row>
    <row r="65" spans="1:2" x14ac:dyDescent="0.3">
      <c r="A65" s="4" t="str">
        <f>IF('Infrastructures de collecte'!A47="","",'Infrastructures de collecte'!A47)</f>
        <v>Total</v>
      </c>
      <c r="B65" s="21">
        <f>SUM(B55:B64)</f>
        <v>0</v>
      </c>
    </row>
    <row r="66" spans="1:2" x14ac:dyDescent="0.3">
      <c r="A66" s="4" t="s">
        <v>634</v>
      </c>
      <c r="B66" s="42"/>
    </row>
    <row r="67" spans="1:2" x14ac:dyDescent="0.3">
      <c r="A67" s="29" t="str">
        <f>IFERROR(SUMPRODUCT(A55:A64,B55:B64)/B65,"")</f>
        <v/>
      </c>
      <c r="B67" s="42"/>
    </row>
    <row r="70" spans="1:2" ht="21" x14ac:dyDescent="0.4">
      <c r="A70" s="8" t="s">
        <v>631</v>
      </c>
    </row>
    <row r="72" spans="1:2" x14ac:dyDescent="0.3">
      <c r="A72" s="4" t="s">
        <v>631</v>
      </c>
      <c r="B72" s="4" t="s">
        <v>633</v>
      </c>
    </row>
    <row r="73" spans="1:2" x14ac:dyDescent="0.3">
      <c r="A73" s="4">
        <f>IF('Infrastructures de collecte'!A63="","",'Infrastructures de collecte'!A63)</f>
        <v>1</v>
      </c>
      <c r="B73" s="21" t="str">
        <f>IF('Infrastructures de collecte'!A63="","",IF('Infrastructures de collecte'!$A$60="%",IF(OR('Infrastructures de collecte'!B63="",'Infrastructures de collecte'!B$68=0),"",'Infrastructures de collecte'!B63/'Infrastructures de collecte'!$B$68),IF('Infrastructures de collecte'!$A$60="Km",IF(OR('Infrastructures de collecte'!C63="",'Infrastructures de collecte'!C$68=0),"",'Infrastructures de collecte'!C63/'Infrastructures de collecte'!$C$68),"")))</f>
        <v/>
      </c>
    </row>
    <row r="74" spans="1:2" x14ac:dyDescent="0.3">
      <c r="A74" s="4">
        <f>IF('Infrastructures de collecte'!A64="","",'Infrastructures de collecte'!A64)</f>
        <v>2</v>
      </c>
      <c r="B74" s="21" t="str">
        <f>IF('Infrastructures de collecte'!A64="","",IF('Infrastructures de collecte'!$A$60="%",IF(OR('Infrastructures de collecte'!B64="",'Infrastructures de collecte'!B$68=0),"",'Infrastructures de collecte'!B64/'Infrastructures de collecte'!$B$68),IF('Infrastructures de collecte'!$A$60="Km",IF(OR('Infrastructures de collecte'!C64="",'Infrastructures de collecte'!C$68=0),"",'Infrastructures de collecte'!C64/'Infrastructures de collecte'!$C$68),"")))</f>
        <v/>
      </c>
    </row>
    <row r="75" spans="1:2" x14ac:dyDescent="0.3">
      <c r="A75" s="4">
        <f>IF('Infrastructures de collecte'!A65="","",'Infrastructures de collecte'!A65)</f>
        <v>3</v>
      </c>
      <c r="B75" s="21" t="str">
        <f>IF('Infrastructures de collecte'!A65="","",IF('Infrastructures de collecte'!$A$60="%",IF(OR('Infrastructures de collecte'!B65="",'Infrastructures de collecte'!B$68=0),"",'Infrastructures de collecte'!B65/'Infrastructures de collecte'!$B$68),IF('Infrastructures de collecte'!$A$60="Km",IF(OR('Infrastructures de collecte'!C65="",'Infrastructures de collecte'!C$68=0),"",'Infrastructures de collecte'!C65/'Infrastructures de collecte'!$C$68),"")))</f>
        <v/>
      </c>
    </row>
    <row r="76" spans="1:2" x14ac:dyDescent="0.3">
      <c r="A76" s="4" t="str">
        <f>IF('Infrastructures de collecte'!A66="","",'Infrastructures de collecte'!A66)</f>
        <v/>
      </c>
      <c r="B76" s="21" t="str">
        <f>IF('Infrastructures de collecte'!A66="","",IF('Infrastructures de collecte'!$A$60="%",IF(OR('Infrastructures de collecte'!B66="",'Infrastructures de collecte'!B$68=0),"",'Infrastructures de collecte'!B66/'Infrastructures de collecte'!$B$68),IF('Infrastructures de collecte'!$A$60="Km",IF(OR('Infrastructures de collecte'!C66="",'Infrastructures de collecte'!C$68=0),"",'Infrastructures de collecte'!C66/'Infrastructures de collecte'!$C$68),"")))</f>
        <v/>
      </c>
    </row>
    <row r="77" spans="1:2" x14ac:dyDescent="0.3">
      <c r="A77" s="4" t="str">
        <f>IF('Infrastructures de collecte'!A67="","",'Infrastructures de collecte'!A67)</f>
        <v/>
      </c>
      <c r="B77" s="21" t="str">
        <f>IF('Infrastructures de collecte'!A67="","",IF('Infrastructures de collecte'!$A$60="%",IF(OR('Infrastructures de collecte'!B67="",'Infrastructures de collecte'!B$68=0),"",'Infrastructures de collecte'!B67/'Infrastructures de collecte'!$B$68),IF('Infrastructures de collecte'!$A$60="Km",IF(OR('Infrastructures de collecte'!C67="",'Infrastructures de collecte'!C$68=0),"",'Infrastructures de collecte'!C67/'Infrastructures de collecte'!$C$68),"")))</f>
        <v/>
      </c>
    </row>
    <row r="78" spans="1:2" x14ac:dyDescent="0.3">
      <c r="A78" s="4" t="s">
        <v>18</v>
      </c>
      <c r="B78" s="21">
        <f>SUM(B73:B77)</f>
        <v>0</v>
      </c>
    </row>
    <row r="79" spans="1:2" x14ac:dyDescent="0.3">
      <c r="A79" s="4" t="s">
        <v>634</v>
      </c>
    </row>
    <row r="80" spans="1:2" x14ac:dyDescent="0.3">
      <c r="A80" s="29" t="str">
        <f>IFERROR(SUMPRODUCT(A73:A77,B73:B77)/B78,"")</f>
        <v/>
      </c>
    </row>
    <row r="84" spans="1:2" ht="31.2" x14ac:dyDescent="0.6">
      <c r="A84" s="7" t="s">
        <v>598</v>
      </c>
    </row>
    <row r="86" spans="1:2" ht="21" x14ac:dyDescent="0.4">
      <c r="A86" s="8" t="s">
        <v>615</v>
      </c>
    </row>
    <row r="88" spans="1:2" x14ac:dyDescent="0.3">
      <c r="A88" s="4" t="s">
        <v>14</v>
      </c>
      <c r="B88" s="4" t="s">
        <v>663</v>
      </c>
    </row>
    <row r="89" spans="1:2" x14ac:dyDescent="0.3">
      <c r="A89" s="4" t="str">
        <f>IF('Nettoyage Plages'!A35="","",'Nettoyage Plages'!A35)</f>
        <v/>
      </c>
      <c r="B89" s="21" t="str">
        <f>IF('Nettoyage Plages'!A35="","",IF('Nettoyage Plages'!$A$32="%",IF(OR('Nettoyage Plages'!B35="",'Nettoyage Plages'!B$45=0),"",'Nettoyage Plages'!B35/'Nettoyage Plages'!$B$45),IF('Nettoyage Plages'!$A$32="Superficie (m2)",IF(OR('Nettoyage Plages'!C35="",'Nettoyage Plages'!C$45=0),"",'Nettoyage Plages'!C35/'Nettoyage Plages'!$C$45),"")))</f>
        <v/>
      </c>
    </row>
    <row r="90" spans="1:2" x14ac:dyDescent="0.3">
      <c r="A90" s="4" t="str">
        <f>IF('Nettoyage Plages'!A36="","",'Nettoyage Plages'!A36)</f>
        <v/>
      </c>
      <c r="B90" s="21" t="str">
        <f>IF('Nettoyage Plages'!A36="","",IF('Nettoyage Plages'!$A$32="%",IF(OR('Nettoyage Plages'!B36="",'Nettoyage Plages'!B$45=0),"",'Nettoyage Plages'!B36/'Nettoyage Plages'!$B$45),IF('Nettoyage Plages'!$A$32="Superficie (m2)",IF(OR('Nettoyage Plages'!C36="",'Nettoyage Plages'!C$45=0),"",'Nettoyage Plages'!C36/'Nettoyage Plages'!$C$45),"")))</f>
        <v/>
      </c>
    </row>
    <row r="91" spans="1:2" x14ac:dyDescent="0.3">
      <c r="A91" s="4" t="str">
        <f>IF('Nettoyage Plages'!A37="","",'Nettoyage Plages'!A37)</f>
        <v/>
      </c>
      <c r="B91" s="21" t="str">
        <f>IF('Nettoyage Plages'!A37="","",IF('Nettoyage Plages'!$A$32="%",IF(OR('Nettoyage Plages'!B37="",'Nettoyage Plages'!B$45=0),"",'Nettoyage Plages'!B37/'Nettoyage Plages'!$B$45),IF('Nettoyage Plages'!$A$32="Superficie (m2)",IF(OR('Nettoyage Plages'!C37="",'Nettoyage Plages'!C$45=0),"",'Nettoyage Plages'!C37/'Nettoyage Plages'!$C$45),"")))</f>
        <v/>
      </c>
    </row>
    <row r="92" spans="1:2" x14ac:dyDescent="0.3">
      <c r="A92" s="4" t="str">
        <f>IF('Nettoyage Plages'!A38="","",'Nettoyage Plages'!A38)</f>
        <v/>
      </c>
      <c r="B92" s="21" t="str">
        <f>IF('Nettoyage Plages'!A38="","",IF('Nettoyage Plages'!$A$32="%",IF(OR('Nettoyage Plages'!B38="",'Nettoyage Plages'!B$45=0),"",'Nettoyage Plages'!B38/'Nettoyage Plages'!$B$45),IF('Nettoyage Plages'!$A$32="Superficie (m2)",IF(OR('Nettoyage Plages'!C38="",'Nettoyage Plages'!C$45=0),"",'Nettoyage Plages'!C38/'Nettoyage Plages'!$C$45),"")))</f>
        <v/>
      </c>
    </row>
    <row r="93" spans="1:2" x14ac:dyDescent="0.3">
      <c r="A93" s="4" t="str">
        <f>IF('Nettoyage Plages'!A39="","",'Nettoyage Plages'!A39)</f>
        <v/>
      </c>
      <c r="B93" s="21" t="str">
        <f>IF('Nettoyage Plages'!A39="","",IF('Nettoyage Plages'!$A$32="%",IF(OR('Nettoyage Plages'!B39="",'Nettoyage Plages'!B$45=0),"",'Nettoyage Plages'!B39/'Nettoyage Plages'!$B$45),IF('Nettoyage Plages'!$A$32="Superficie (m2)",IF(OR('Nettoyage Plages'!C39="",'Nettoyage Plages'!C$45=0),"",'Nettoyage Plages'!C39/'Nettoyage Plages'!$C$45),"")))</f>
        <v/>
      </c>
    </row>
    <row r="94" spans="1:2" x14ac:dyDescent="0.3">
      <c r="A94" s="4" t="str">
        <f>IF('Nettoyage Plages'!A40="","",'Nettoyage Plages'!A40)</f>
        <v/>
      </c>
      <c r="B94" s="21" t="str">
        <f>IF('Nettoyage Plages'!A40="","",IF('Nettoyage Plages'!$A$32="%",IF(OR('Nettoyage Plages'!B40="",'Nettoyage Plages'!B$45=0),"",'Nettoyage Plages'!B40/'Nettoyage Plages'!$B$45),IF('Nettoyage Plages'!$A$32="Superficie (m2)",IF(OR('Nettoyage Plages'!C40="",'Nettoyage Plages'!C$45=0),"",'Nettoyage Plages'!C40/'Nettoyage Plages'!$C$45),"")))</f>
        <v/>
      </c>
    </row>
    <row r="95" spans="1:2" x14ac:dyDescent="0.3">
      <c r="A95" s="4" t="str">
        <f>IF('Nettoyage Plages'!A41="","",'Nettoyage Plages'!A41)</f>
        <v/>
      </c>
      <c r="B95" s="21" t="str">
        <f>IF('Nettoyage Plages'!A41="","",IF('Nettoyage Plages'!$A$32="%",IF(OR('Nettoyage Plages'!B41="",'Nettoyage Plages'!B$45=0),"",'Nettoyage Plages'!B41/'Nettoyage Plages'!$B$45),IF('Nettoyage Plages'!$A$32="Superficie (m2)",IF(OR('Nettoyage Plages'!C41="",'Nettoyage Plages'!C$45=0),"",'Nettoyage Plages'!C41/'Nettoyage Plages'!$C$45),"")))</f>
        <v/>
      </c>
    </row>
    <row r="96" spans="1:2" x14ac:dyDescent="0.3">
      <c r="A96" s="4" t="str">
        <f>IF('Nettoyage Plages'!A42="","",'Nettoyage Plages'!A42)</f>
        <v/>
      </c>
      <c r="B96" s="21" t="str">
        <f>IF('Nettoyage Plages'!A42="","",IF('Nettoyage Plages'!$A$32="%",IF(OR('Nettoyage Plages'!B42="",'Nettoyage Plages'!B$45=0),"",'Nettoyage Plages'!B42/'Nettoyage Plages'!$B$45),IF('Nettoyage Plages'!$A$32="Superficie (m2)",IF(OR('Nettoyage Plages'!C42="",'Nettoyage Plages'!C$45=0),"",'Nettoyage Plages'!C42/'Nettoyage Plages'!$C$45),"")))</f>
        <v/>
      </c>
    </row>
    <row r="97" spans="1:2" x14ac:dyDescent="0.3">
      <c r="A97" s="4" t="str">
        <f>IF('Nettoyage Plages'!A43="","",'Nettoyage Plages'!A43)</f>
        <v/>
      </c>
      <c r="B97" s="21" t="str">
        <f>IF('Nettoyage Plages'!A43="","",IF('Nettoyage Plages'!$A$32="%",IF(OR('Nettoyage Plages'!B43="",'Nettoyage Plages'!B$45=0),"",'Nettoyage Plages'!B43/'Nettoyage Plages'!$B$45),IF('Nettoyage Plages'!$A$32="Superficie (m2)",IF(OR('Nettoyage Plages'!C43="",'Nettoyage Plages'!C$45=0),"",'Nettoyage Plages'!C43/'Nettoyage Plages'!$C$45),"")))</f>
        <v/>
      </c>
    </row>
    <row r="98" spans="1:2" x14ac:dyDescent="0.3">
      <c r="A98" s="4" t="str">
        <f>IF('Nettoyage Plages'!A44="","",'Nettoyage Plages'!A44)</f>
        <v/>
      </c>
      <c r="B98" s="21" t="str">
        <f>IF('Nettoyage Plages'!A44="","",IF('Nettoyage Plages'!$A$32="%",IF(OR('Nettoyage Plages'!B44="",'Nettoyage Plages'!B$45=0),"",'Nettoyage Plages'!B44/'Nettoyage Plages'!$B$45),IF('Nettoyage Plages'!$A$32="Superficie (m2)",IF(OR('Nettoyage Plages'!C44="",'Nettoyage Plages'!C$45=0),"",'Nettoyage Plages'!C44/'Nettoyage Plages'!$C$45),"")))</f>
        <v/>
      </c>
    </row>
    <row r="99" spans="1:2" x14ac:dyDescent="0.3">
      <c r="A99" s="4" t="str">
        <f>IF('Nettoyage Plages'!A45="","",'Nettoyage Plages'!A45)</f>
        <v>Total</v>
      </c>
      <c r="B99" s="21">
        <f>SUM(B89:B98)</f>
        <v>0</v>
      </c>
    </row>
    <row r="100" spans="1:2" x14ac:dyDescent="0.3">
      <c r="A100" s="4" t="s">
        <v>634</v>
      </c>
      <c r="B100" s="42"/>
    </row>
    <row r="101" spans="1:2" x14ac:dyDescent="0.3">
      <c r="A101" s="29" t="str">
        <f>IFERROR(SUMPRODUCT(A89:A98,B89:B98)/B99,"")</f>
        <v/>
      </c>
      <c r="B101" s="42"/>
    </row>
  </sheetData>
  <sheetProtection sheet="1" objects="1" scenarios="1"/>
  <dataValidations disablePrompts="1" count="1">
    <dataValidation type="whole" operator="greaterThanOrEqual" allowBlank="1" showInputMessage="1" showErrorMessage="1" sqref="C8:C18 C30:C40" xr:uid="{74E3E70A-B9CD-4A0D-B002-4FE9DF1A8B53}">
      <formula1>0</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EB3C4-E59D-4765-B734-5EEC83BA3C56}">
  <dimension ref="A1:AV2"/>
  <sheetViews>
    <sheetView workbookViewId="0">
      <selection activeCell="A2" sqref="A2"/>
    </sheetView>
  </sheetViews>
  <sheetFormatPr baseColWidth="10" defaultColWidth="11.44140625" defaultRowHeight="14.4" x14ac:dyDescent="0.3"/>
  <cols>
    <col min="1" max="1" width="26.109375" customWidth="1"/>
  </cols>
  <sheetData>
    <row r="1" spans="1:48" ht="100.8" x14ac:dyDescent="0.3">
      <c r="A1" s="13" t="s">
        <v>33</v>
      </c>
      <c r="B1" s="9" t="s">
        <v>34</v>
      </c>
      <c r="C1" s="13" t="s">
        <v>35</v>
      </c>
      <c r="D1" s="13" t="s">
        <v>36</v>
      </c>
      <c r="E1" s="13" t="s">
        <v>37</v>
      </c>
      <c r="F1" s="13" t="s">
        <v>38</v>
      </c>
      <c r="G1" s="13" t="s">
        <v>39</v>
      </c>
      <c r="H1" s="13" t="s">
        <v>40</v>
      </c>
      <c r="I1" s="13" t="s">
        <v>41</v>
      </c>
      <c r="J1" s="13" t="s">
        <v>42</v>
      </c>
      <c r="K1" s="43" t="s">
        <v>43</v>
      </c>
      <c r="L1" s="43" t="s">
        <v>44</v>
      </c>
      <c r="M1" s="43" t="s">
        <v>45</v>
      </c>
      <c r="N1" s="43" t="s">
        <v>46</v>
      </c>
      <c r="O1" s="43" t="s">
        <v>47</v>
      </c>
      <c r="P1" s="44" t="s">
        <v>573</v>
      </c>
      <c r="Q1" s="44" t="s">
        <v>574</v>
      </c>
      <c r="R1" s="43" t="s">
        <v>583</v>
      </c>
      <c r="S1" s="43" t="s">
        <v>48</v>
      </c>
      <c r="T1" s="45" t="s">
        <v>575</v>
      </c>
      <c r="U1" s="45" t="s">
        <v>576</v>
      </c>
      <c r="V1" s="45" t="s">
        <v>577</v>
      </c>
      <c r="W1" s="45" t="s">
        <v>578</v>
      </c>
      <c r="X1" s="45" t="s">
        <v>579</v>
      </c>
      <c r="Y1" s="46" t="s">
        <v>580</v>
      </c>
      <c r="Z1" s="46" t="s">
        <v>581</v>
      </c>
      <c r="AA1" s="45" t="s">
        <v>584</v>
      </c>
      <c r="AB1" s="45" t="s">
        <v>586</v>
      </c>
      <c r="AC1" s="45" t="s">
        <v>585</v>
      </c>
      <c r="AD1" s="45" t="s">
        <v>587</v>
      </c>
      <c r="AE1" s="45" t="s">
        <v>588</v>
      </c>
      <c r="AF1" s="45" t="s">
        <v>582</v>
      </c>
      <c r="AG1" s="45" t="s">
        <v>589</v>
      </c>
      <c r="AH1" s="45" t="s">
        <v>590</v>
      </c>
      <c r="AI1" s="45" t="s">
        <v>591</v>
      </c>
      <c r="AJ1" s="47" t="s">
        <v>635</v>
      </c>
      <c r="AK1" s="47" t="s">
        <v>636</v>
      </c>
      <c r="AL1" s="47" t="s">
        <v>637</v>
      </c>
      <c r="AM1" s="47" t="s">
        <v>638</v>
      </c>
      <c r="AN1" s="47" t="s">
        <v>639</v>
      </c>
      <c r="AO1" s="47" t="s">
        <v>643</v>
      </c>
      <c r="AP1" s="47" t="s">
        <v>644</v>
      </c>
      <c r="AQ1" s="47" t="s">
        <v>645</v>
      </c>
      <c r="AR1" s="48" t="s">
        <v>646</v>
      </c>
      <c r="AS1" s="48" t="s">
        <v>647</v>
      </c>
      <c r="AT1" s="48" t="s">
        <v>648</v>
      </c>
      <c r="AU1" s="48" t="s">
        <v>649</v>
      </c>
      <c r="AV1" s="48" t="s">
        <v>650</v>
      </c>
    </row>
    <row r="2" spans="1:48" x14ac:dyDescent="0.3">
      <c r="A2">
        <f>Signalétique!B1</f>
        <v>0</v>
      </c>
      <c r="B2" t="str">
        <f>Signalétique!B3</f>
        <v/>
      </c>
      <c r="C2" t="str">
        <f>Signalétique!B5</f>
        <v/>
      </c>
      <c r="D2" s="15" t="str">
        <f>Signalétique!B7</f>
        <v/>
      </c>
      <c r="E2" s="15" t="str">
        <f>Signalétique!B9</f>
        <v/>
      </c>
      <c r="F2" s="32" t="e">
        <f>'Calculs intermédiaires'!G5</f>
        <v>#N/A</v>
      </c>
      <c r="G2" s="32" t="e">
        <f>'Calculs intermédiaires'!H5</f>
        <v>#N/A</v>
      </c>
      <c r="H2" s="32" t="e">
        <f>'Calculs intermédiaires'!I5</f>
        <v>#N/A</v>
      </c>
      <c r="I2" s="32" t="e">
        <f>'Calculs intermédiaires'!J5</f>
        <v>#N/A</v>
      </c>
      <c r="J2" s="32" t="e">
        <f>'Calculs intermédiaires'!K5</f>
        <v>#N/A</v>
      </c>
      <c r="K2" s="15" t="str" cm="1">
        <f t="array" ref="K2">IF(OR('Calculs intermédiaires'!G22="",'Balayage manuel'!$A$10:$D$10=Paramètres!$A$6),"",'Calculs intermédiaires'!G22)</f>
        <v/>
      </c>
      <c r="L2" s="15" t="str" cm="1">
        <f t="array" ref="L2">IF(OR('Calculs intermédiaires'!H22="",'Balayage manuel'!$A$10:$D$10=Paramètres!$A$6),"",'Calculs intermédiaires'!H22)</f>
        <v/>
      </c>
      <c r="M2" s="15" t="str" cm="1">
        <f t="array" ref="M2">IF(OR('Calculs intermédiaires'!I22="",'Balayage manuel'!$A$10:$D$10=Paramètres!$A$6),"",'Calculs intermédiaires'!I22)</f>
        <v/>
      </c>
      <c r="N2" s="15" t="str" cm="1">
        <f t="array" ref="N2">IF(OR('Calculs intermédiaires'!J22="",'Balayage manuel'!$A$10:$D$10=Paramètres!$A$6),"",'Calculs intermédiaires'!J22)</f>
        <v/>
      </c>
      <c r="O2" s="15" t="str" cm="1">
        <f t="array" ref="O2">IF(OR('Calculs intermédiaires'!K22="",'Balayage manuel'!$A$10:$D$10=Paramètres!$A$6),"",'Calculs intermédiaires'!K22)</f>
        <v/>
      </c>
      <c r="P2" s="15" cm="1">
        <f t="array" ref="P2">IF(OR('Balayage manuel'!D45="",'Balayage manuel'!$A$10:$D$10=Paramètres!$A$4,'Balayage manuel'!$A$10:$D$10=Paramètres!$A$6),"",'Balayage manuel'!D45)</f>
        <v>10</v>
      </c>
      <c r="Q2" s="15" cm="1">
        <f t="array" ref="Q2">IF(OR('Balayage manuel'!D46="",'Balayage manuel'!$A$10:$D$10=Paramètres!$A$4,'Balayage manuel'!$A$10:$D$10=Paramètres!$A$6),"",'Balayage manuel'!D46)</f>
        <v>10</v>
      </c>
      <c r="R2" s="1" t="str" cm="1">
        <f t="array" ref="R2">IF(OR('Balayage manuel'!D51="",'Balayage manuel'!$A$10:$D$10=Paramètres!$A$4,'Balayage manuel'!$A$10:$D$10=Paramètres!$A$6),"",'Balayage manuel'!D51)</f>
        <v/>
      </c>
      <c r="S2" cm="1">
        <f t="array" ref="S2">IF(OR('Balayage manuel'!D61="",'Balayage manuel'!$A$10:$D$10=Paramètres!$A$4,'Balayage manuel'!$A$10:$D$10=Paramètres!$A$6),"",'Balayage manuel'!D61)</f>
        <v>20</v>
      </c>
      <c r="T2" s="15" t="str" cm="1">
        <f t="array" ref="T2">IF(OR('Calculs intermédiaires'!G44="",'Balayage mécanique'!$A$12:$D$12=Paramètres!$A$6),"",'Calculs intermédiaires'!G44)</f>
        <v/>
      </c>
      <c r="U2" s="15" t="str" cm="1">
        <f t="array" ref="U2">IF(OR('Calculs intermédiaires'!H44="",'Balayage mécanique'!$A$12:$D$12=Paramètres!$A$6),"",'Calculs intermédiaires'!H44)</f>
        <v/>
      </c>
      <c r="V2" s="15" t="str" cm="1">
        <f t="array" ref="V2">IF(OR('Calculs intermédiaires'!I44="",'Balayage mécanique'!$A$12:$D$12=Paramètres!$A$6),"",'Calculs intermédiaires'!I44)</f>
        <v/>
      </c>
      <c r="W2" s="15" t="str" cm="1">
        <f t="array" ref="W2">IF(OR('Calculs intermédiaires'!J44="",'Balayage mécanique'!$A$12:$D$12=Paramètres!$A$6),"",'Calculs intermédiaires'!J44)</f>
        <v/>
      </c>
      <c r="X2" s="15" t="str" cm="1">
        <f t="array" ref="X2">IF(OR('Calculs intermédiaires'!K44="",'Balayage mécanique'!$A$12:$D$12=Paramètres!$A$6),"",'Calculs intermédiaires'!K44)</f>
        <v/>
      </c>
      <c r="Y2" cm="1">
        <f t="array" ref="Y2">IF(OR('Balayage mécanique'!D47="",'Balayage mécanique'!$A$12:$D$12=Paramètres!$A$4,'Balayage mécanique'!$A$12:$D$12=Paramètres!$A$6),"",'Balayage mécanique'!D47)</f>
        <v>40</v>
      </c>
      <c r="Z2" cm="1">
        <f t="array" ref="Z2">IF(OR('Balayage mécanique'!D48="",'Balayage mécanique'!$A$12:$D$12=Paramètres!$A$4,'Balayage mécanique'!$A$12:$D$12=Paramètres!$A$6),"",'Balayage mécanique'!D48)</f>
        <v>55</v>
      </c>
      <c r="AA2" s="1" t="str" cm="1">
        <f t="array" ref="AA2">IF(OR('Balayage mécanique'!D53="",'Balayage mécanique'!$A$12:$D$12=Paramètres!$A$4,'Balayage mécanique'!$A$12:$D$12=Paramètres!$A$6),"",'Balayage mécanique'!D53)</f>
        <v/>
      </c>
      <c r="AB2" s="1" t="str" cm="1">
        <f t="array" ref="AB2">IF(OR('Balayage mécanique'!D53="",'Balayage mécanique'!$A$12:$D$12=Paramètres!$A$4,'Balayage mécanique'!$A$12:$D$12=Paramètres!$A$6),"",'Balayage mécanique'!D54)</f>
        <v/>
      </c>
      <c r="AC2" t="str" cm="1">
        <f t="array" ref="AC2">IF(OR('Balayage mécanique'!D53="",'Balayage mécanique'!D57="",'Balayage mécanique'!$A$12:$D$12=Paramètres!$A$4,'Balayage mécanique'!$A$12:$D$12=Paramètres!$A$6),"",'Balayage mécanique'!D57)</f>
        <v/>
      </c>
      <c r="AD2" cm="1">
        <f t="array" ref="AD2">IF(OR('Balayage mécanique'!D63="",'Balayage mécanique'!$A$12:$D$12=Paramètres!$A$4,'Balayage mécanique'!$A$12:$D$12=Paramètres!$A$6),"",'Balayage mécanique'!D63)</f>
        <v>12</v>
      </c>
      <c r="AE2" cm="1">
        <f t="array" ref="AE2">IF(OR('Balayage mécanique'!D64="",'Balayage mécanique'!$A$12:$D$12=Paramètres!$A$4,'Balayage mécanique'!$A$12:$D$12=Paramètres!$A$6),"",'Balayage mécanique'!D64)</f>
        <v>8</v>
      </c>
      <c r="AF2" cm="1">
        <f t="array" ref="AF2">IF(OR('Balayage mécanique'!D65="",'Balayage mécanique'!$A$12:$D$12=Paramètres!$A$4,'Balayage mécanique'!$A$12:$D$12=Paramètres!$A$6),"",'Balayage mécanique'!D65)</f>
        <v>10</v>
      </c>
      <c r="AG2" s="1" t="str" cm="1">
        <f t="array" ref="AG2">IF(OR(AND('Balayage mécanique'!$D$71="",'Balayage mécanique'!$D$72=""),'Balayage mécanique'!$A$12:$D$12=Paramètres!$A$4,'Balayage mécanique'!$A$12:$D$12=Paramètres!$A$6),"",'Balayage mécanique'!D71)</f>
        <v/>
      </c>
      <c r="AH2" s="1" t="str" cm="1">
        <f t="array" ref="AH2">IF(OR(AND('Balayage mécanique'!$D$71="",'Balayage mécanique'!$D$72=""),'Balayage mécanique'!$A$12:$D$12=Paramètres!$A$4,'Balayage mécanique'!$A$12:$D$12=Paramètres!$A$6),"",'Balayage mécanique'!D72)</f>
        <v/>
      </c>
      <c r="AI2" s="1" t="str" cm="1">
        <f t="array" ref="AI2">IF(OR(AND('Balayage mécanique'!$D$71="",'Balayage mécanique'!$D$72=""),'Balayage mécanique'!$A$12:$D$12=Paramètres!$A$4,'Balayage mécanique'!$A$12:$D$12=Paramètres!$A$6),"",'Balayage mécanique'!D73)</f>
        <v/>
      </c>
      <c r="AJ2" t="str" cm="1">
        <f t="array" ref="AJ2">IF(OR('Infrastructures de collecte'!D21="",'Infrastructures de collecte'!$A$14:$D$14=Paramètres!$A$6),"",'Infrastructures de collecte'!D21)</f>
        <v/>
      </c>
      <c r="AK2" t="str" cm="1">
        <f t="array" ref="AK2">IF(OR('Infrastructures de collecte'!D22="",'Infrastructures de collecte'!$A$14:$D$14=Paramètres!$A$6),"",'Infrastructures de collecte'!D22)</f>
        <v/>
      </c>
      <c r="AL2" t="str" cm="1">
        <f t="array" ref="AL2">IF(OR('Infrastructures de collecte'!D23="",'Infrastructures de collecte'!$A$14:$D$14=Paramètres!$A$6),"",'Infrastructures de collecte'!D23)</f>
        <v/>
      </c>
      <c r="AM2" t="str" cm="1">
        <f t="array" ref="AM2">IF(OR('Calculs intermédiaires'!A67="",'Infrastructures de collecte'!$A$14:$D$14=Paramètres!$A$6),"",'Calculs intermédiaires'!A67)</f>
        <v/>
      </c>
      <c r="AN2" t="str" cm="1">
        <f t="array" ref="AN2">IF(OR('Calculs intermédiaires'!A80="",'Infrastructures de collecte'!$A$14:$D$14=Paramètres!$A$4,'Infrastructures de collecte'!$A$14:$D$14=Paramètres!$A$6),"",'Calculs intermédiaires'!A80)</f>
        <v/>
      </c>
      <c r="AO2" cm="1">
        <f t="array" ref="AO2">IF(OR('Infrastructures de collecte'!D76="",'Infrastructures de collecte'!$A$14:$D$14=Paramètres!$A$4,'Infrastructures de collecte'!$A$14:$D$14=Paramètres!$A$6),"",'Infrastructures de collecte'!D76)</f>
        <v>20</v>
      </c>
      <c r="AP2" s="56" t="e" cm="1">
        <f t="array" ref="AP2">IF(OR('Infrastructures de collecte'!F82="",'Infrastructures de collecte'!$A$14:$D$14=Paramètres!$A$4,'Infrastructures de collecte'!$A$14:$D$14=Paramètres!$A$6),"",'Infrastructures de collecte'!F82/60)</f>
        <v>#VALUE!</v>
      </c>
      <c r="AQ2" s="16" t="str">
        <f>IFERROR(AO2/((3.8*60-AO2)/AP2),"")</f>
        <v/>
      </c>
      <c r="AR2" cm="1">
        <f t="array" ref="AR2">IF(OR('Nettoyage Plages'!D21="",'Nettoyage Plages'!$A$11:$D$11=Paramètres!$A$6),"",'Nettoyage Plages'!D21)</f>
        <v>0</v>
      </c>
      <c r="AS2" t="str" cm="1">
        <f t="array" ref="AS2">IF(OR('Calculs intermédiaires'!A101="",'Nettoyage Plages'!$A$11:$D$11=Paramètres!$A$6),"",'Calculs intermédiaires'!A101)</f>
        <v/>
      </c>
      <c r="AT2" cm="1">
        <f t="array" ref="AT2">IF(OR('Nettoyage Plages'!D51="",'Nettoyage Plages'!$A$11:$D$11=Paramètres!$A$4,'Nettoyage Plages'!$A$11:$D$11=Paramètres!$A$6),"",'Nettoyage Plages'!D51)</f>
        <v>40</v>
      </c>
      <c r="AU2" cm="1">
        <f t="array" ref="AU2">IF(OR('Nettoyage Plages'!D52="",'Nettoyage Plages'!$A$11:$D$11=Paramètres!$A$4,'Nettoyage Plages'!$A$11:$D$11=Paramètres!$A$6),"",'Nettoyage Plages'!D52)</f>
        <v>55</v>
      </c>
      <c r="AV2" cm="1">
        <f t="array" ref="AV2">IF(OR('Nettoyage Plages'!D57="",'Nettoyage Plages'!$A$11:$D$11=Paramètres!$A$4,'Nettoyage Plages'!$A$11:$D$11=Paramètres!$A$6),"",'Nettoyage Plages'!D57)</f>
        <v>8</v>
      </c>
    </row>
  </sheetData>
  <sheetProtection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79F68-B3DD-432F-A559-C568AD2B1272}">
  <dimension ref="A1:AB582"/>
  <sheetViews>
    <sheetView workbookViewId="0">
      <selection activeCell="A13" sqref="A13:D13"/>
    </sheetView>
  </sheetViews>
  <sheetFormatPr baseColWidth="10" defaultColWidth="11.44140625" defaultRowHeight="14.4" x14ac:dyDescent="0.3"/>
  <cols>
    <col min="1" max="1" width="22.5546875" style="12" bestFit="1" customWidth="1"/>
    <col min="2" max="2" width="15.88671875" style="12" customWidth="1"/>
    <col min="3" max="3" width="20.5546875" style="12" customWidth="1"/>
    <col min="5" max="5" width="16.33203125" customWidth="1"/>
  </cols>
  <sheetData>
    <row r="1" spans="1:28" ht="72" x14ac:dyDescent="0.3">
      <c r="A1" s="13" t="s">
        <v>33</v>
      </c>
      <c r="B1" s="9" t="s">
        <v>737</v>
      </c>
      <c r="C1" s="13" t="s">
        <v>35</v>
      </c>
      <c r="D1" s="13" t="s">
        <v>738</v>
      </c>
      <c r="E1" s="13" t="s">
        <v>739</v>
      </c>
      <c r="F1" s="13" t="s">
        <v>49</v>
      </c>
      <c r="G1" s="18" t="s">
        <v>740</v>
      </c>
      <c r="H1" s="18" t="s">
        <v>741</v>
      </c>
      <c r="I1" s="18" t="s">
        <v>742</v>
      </c>
      <c r="J1" s="18" t="s">
        <v>743</v>
      </c>
      <c r="K1" s="60" t="s">
        <v>744</v>
      </c>
      <c r="L1" s="18" t="s">
        <v>685</v>
      </c>
      <c r="M1" s="18" t="s">
        <v>689</v>
      </c>
      <c r="N1" s="18" t="s">
        <v>690</v>
      </c>
      <c r="O1" s="18" t="s">
        <v>691</v>
      </c>
      <c r="P1" s="18" t="s">
        <v>692</v>
      </c>
      <c r="Q1" s="18" t="s">
        <v>693</v>
      </c>
      <c r="R1" s="13" t="s">
        <v>712</v>
      </c>
      <c r="S1" s="13" t="s">
        <v>745</v>
      </c>
      <c r="T1" s="13" t="s">
        <v>713</v>
      </c>
    </row>
    <row r="2" spans="1:28" x14ac:dyDescent="0.3">
      <c r="A2" s="10" t="s">
        <v>50</v>
      </c>
      <c r="B2" s="10" t="s">
        <v>51</v>
      </c>
      <c r="C2" s="10" t="s">
        <v>52</v>
      </c>
      <c r="D2" s="15">
        <v>10956</v>
      </c>
      <c r="E2" s="17">
        <v>22.424804000000002</v>
      </c>
      <c r="F2" s="17">
        <v>117.7550961812168</v>
      </c>
      <c r="G2" s="17">
        <v>24.524027768725169</v>
      </c>
      <c r="H2" s="17">
        <v>31.443671497945985</v>
      </c>
      <c r="I2" s="17">
        <v>27.422102257558567</v>
      </c>
      <c r="J2" s="17">
        <v>34.365294656987096</v>
      </c>
      <c r="K2" s="12" t="s">
        <v>682</v>
      </c>
      <c r="L2" s="1">
        <f>VLOOKUP(K2,Paramètres!$A$18:$B$21,2,FALSE)</f>
        <v>0.21</v>
      </c>
      <c r="M2" s="1">
        <f>VLOOKUP($K2,Paramètres!$A$27:$D$30,2,FALSE)</f>
        <v>0.33</v>
      </c>
      <c r="N2" s="1">
        <f>VLOOKUP($K2,Paramètres!$A$27:$D$30,3,FALSE)</f>
        <v>0.35</v>
      </c>
      <c r="O2" s="1">
        <f>VLOOKUP($K2,Paramètres!$A$27:$D$30,4,FALSE)</f>
        <v>0.32</v>
      </c>
      <c r="P2">
        <f>_xlfn.IFNA(VLOOKUP($K2,Paramètres!$A$38:$C$41,2,FALSE),"")</f>
        <v>4</v>
      </c>
      <c r="Q2">
        <f>_xlfn.IFNA(VLOOKUP($K2,Paramètres!$A$38:$C$41,3,FALSE),"")</f>
        <v>5</v>
      </c>
      <c r="R2">
        <v>96</v>
      </c>
      <c r="S2" t="b">
        <v>1</v>
      </c>
      <c r="T2">
        <v>3</v>
      </c>
      <c r="Y2" s="17"/>
      <c r="Z2" s="17"/>
      <c r="AA2" s="17"/>
      <c r="AB2" s="17"/>
    </row>
    <row r="3" spans="1:28" x14ac:dyDescent="0.3">
      <c r="A3" s="10" t="s">
        <v>53</v>
      </c>
      <c r="B3" s="10" t="s">
        <v>54</v>
      </c>
      <c r="C3" s="10" t="s">
        <v>52</v>
      </c>
      <c r="D3" s="15">
        <v>14494</v>
      </c>
      <c r="E3" s="17">
        <v>27.662710000000001</v>
      </c>
      <c r="F3" s="17">
        <v>225.98532168947753</v>
      </c>
      <c r="G3" s="17">
        <v>49.874115237259886</v>
      </c>
      <c r="H3" s="17">
        <v>65.369411696010104</v>
      </c>
      <c r="I3" s="17">
        <v>50.438455801941842</v>
      </c>
      <c r="J3" s="17">
        <v>60.303338954265683</v>
      </c>
      <c r="K3" s="12" t="s">
        <v>682</v>
      </c>
      <c r="L3" s="1">
        <f>VLOOKUP(K3,Paramètres!$A$18:$B$21,2,FALSE)</f>
        <v>0.21</v>
      </c>
      <c r="M3" s="1">
        <f>VLOOKUP($K3,Paramètres!$A$27:$D$30,2,FALSE)</f>
        <v>0.33</v>
      </c>
      <c r="N3" s="1">
        <f>VLOOKUP($K3,Paramètres!$A$27:$D$30,3,FALSE)</f>
        <v>0.35</v>
      </c>
      <c r="O3" s="1">
        <f>VLOOKUP($K3,Paramètres!$A$27:$D$30,4,FALSE)</f>
        <v>0.32</v>
      </c>
      <c r="P3">
        <f>_xlfn.IFNA(VLOOKUP($K3,Paramètres!$A$38:$C$41,2,FALSE),"")</f>
        <v>4</v>
      </c>
      <c r="Q3">
        <f>_xlfn.IFNA(VLOOKUP($K3,Paramètres!$A$38:$C$41,3,FALSE),"")</f>
        <v>5</v>
      </c>
      <c r="R3">
        <v>161</v>
      </c>
      <c r="S3" t="b">
        <v>0</v>
      </c>
      <c r="T3">
        <v>4</v>
      </c>
      <c r="Y3" s="17"/>
      <c r="Z3" s="17"/>
      <c r="AA3" s="17"/>
      <c r="AB3" s="17"/>
    </row>
    <row r="4" spans="1:28" x14ac:dyDescent="0.3">
      <c r="A4" s="10" t="s">
        <v>722</v>
      </c>
      <c r="B4" s="10" t="s">
        <v>55</v>
      </c>
      <c r="C4" s="10" t="s">
        <v>52</v>
      </c>
      <c r="D4" s="15">
        <v>5608</v>
      </c>
      <c r="E4" s="17">
        <v>125.88319799999999</v>
      </c>
      <c r="F4" s="17">
        <v>608.59381022704065</v>
      </c>
      <c r="G4" s="17">
        <v>520.01983175564112</v>
      </c>
      <c r="H4" s="17">
        <v>52.154148439276483</v>
      </c>
      <c r="I4" s="17">
        <v>36.419830032123073</v>
      </c>
      <c r="J4" s="17">
        <v>0</v>
      </c>
      <c r="K4" s="12" t="s">
        <v>682</v>
      </c>
      <c r="L4" s="1">
        <f>VLOOKUP(K4,Paramètres!$A$18:$B$21,2,FALSE)</f>
        <v>0.21</v>
      </c>
      <c r="M4" s="1">
        <f>VLOOKUP($K4,Paramètres!$A$27:$D$30,2,FALSE)</f>
        <v>0.33</v>
      </c>
      <c r="N4" s="1">
        <f>VLOOKUP($K4,Paramètres!$A$27:$D$30,3,FALSE)</f>
        <v>0.35</v>
      </c>
      <c r="O4" s="1">
        <f>VLOOKUP($K4,Paramètres!$A$27:$D$30,4,FALSE)</f>
        <v>0.32</v>
      </c>
      <c r="P4">
        <f>_xlfn.IFNA(VLOOKUP($K4,Paramètres!$A$38:$C$41,2,FALSE),"")</f>
        <v>4</v>
      </c>
      <c r="Q4">
        <f>_xlfn.IFNA(VLOOKUP($K4,Paramètres!$A$38:$C$41,3,FALSE),"")</f>
        <v>5</v>
      </c>
      <c r="R4">
        <v>123</v>
      </c>
      <c r="S4" t="b">
        <v>0</v>
      </c>
      <c r="T4">
        <v>3</v>
      </c>
      <c r="Y4" s="17"/>
      <c r="Z4" s="17"/>
      <c r="AA4" s="17"/>
      <c r="AB4" s="17"/>
    </row>
    <row r="5" spans="1:28" x14ac:dyDescent="0.3">
      <c r="A5" s="10" t="s">
        <v>56</v>
      </c>
      <c r="B5" s="10" t="s">
        <v>57</v>
      </c>
      <c r="C5" s="10" t="s">
        <v>52</v>
      </c>
      <c r="D5" s="15">
        <v>28231</v>
      </c>
      <c r="E5" s="17">
        <v>86.110135</v>
      </c>
      <c r="F5" s="17">
        <v>493.47716069530838</v>
      </c>
      <c r="G5" s="17">
        <v>260.18412392048469</v>
      </c>
      <c r="H5" s="17">
        <v>81.400766905581861</v>
      </c>
      <c r="I5" s="17">
        <v>94.866443146745468</v>
      </c>
      <c r="J5" s="17">
        <v>57.02582672249634</v>
      </c>
      <c r="K5" s="12" t="s">
        <v>681</v>
      </c>
      <c r="L5" s="1">
        <f>VLOOKUP(K5,Paramètres!$A$18:$B$21,2,FALSE)</f>
        <v>0.34</v>
      </c>
      <c r="M5" s="1">
        <f>VLOOKUP($K5,Paramètres!$A$27:$D$30,2,FALSE)</f>
        <v>0.26</v>
      </c>
      <c r="N5" s="1">
        <f>VLOOKUP($K5,Paramètres!$A$27:$D$30,3,FALSE)</f>
        <v>0.33</v>
      </c>
      <c r="O5" s="1">
        <f>VLOOKUP($K5,Paramètres!$A$27:$D$30,4,FALSE)</f>
        <v>0.41</v>
      </c>
      <c r="P5">
        <f>_xlfn.IFNA(VLOOKUP($K5,Paramètres!$A$38:$C$41,2,FALSE),"")</f>
        <v>3</v>
      </c>
      <c r="Q5">
        <f>_xlfn.IFNA(VLOOKUP($K5,Paramètres!$A$38:$C$41,3,FALSE),"")</f>
        <v>5</v>
      </c>
      <c r="R5">
        <v>280</v>
      </c>
      <c r="S5" t="b">
        <v>0</v>
      </c>
      <c r="T5">
        <v>8</v>
      </c>
      <c r="Y5" s="17"/>
      <c r="Z5" s="17"/>
      <c r="AA5" s="17"/>
      <c r="AB5" s="17"/>
    </row>
    <row r="6" spans="1:28" x14ac:dyDescent="0.3">
      <c r="A6" s="10" t="s">
        <v>58</v>
      </c>
      <c r="B6" s="10" t="s">
        <v>59</v>
      </c>
      <c r="C6" s="10" t="s">
        <v>52</v>
      </c>
      <c r="D6" s="15">
        <v>12955</v>
      </c>
      <c r="E6" s="17">
        <v>17.195775000000001</v>
      </c>
      <c r="F6" s="17">
        <v>110.879619683863</v>
      </c>
      <c r="G6" s="17">
        <v>5.039872769099162</v>
      </c>
      <c r="H6" s="17">
        <v>27.295358312108117</v>
      </c>
      <c r="I6" s="17">
        <v>27.989649992529223</v>
      </c>
      <c r="J6" s="17">
        <v>50.554738610126492</v>
      </c>
      <c r="K6" s="12" t="s">
        <v>682</v>
      </c>
      <c r="L6" s="1">
        <f>VLOOKUP(K6,Paramètres!$A$18:$B$21,2,FALSE)</f>
        <v>0.21</v>
      </c>
      <c r="M6" s="1">
        <f>VLOOKUP($K6,Paramètres!$A$27:$D$30,2,FALSE)</f>
        <v>0.33</v>
      </c>
      <c r="N6" s="1">
        <f>VLOOKUP($K6,Paramètres!$A$27:$D$30,3,FALSE)</f>
        <v>0.35</v>
      </c>
      <c r="O6" s="1">
        <f>VLOOKUP($K6,Paramètres!$A$27:$D$30,4,FALSE)</f>
        <v>0.32</v>
      </c>
      <c r="P6">
        <f>_xlfn.IFNA(VLOOKUP($K6,Paramètres!$A$38:$C$41,2,FALSE),"")</f>
        <v>4</v>
      </c>
      <c r="Q6">
        <f>_xlfn.IFNA(VLOOKUP($K6,Paramètres!$A$38:$C$41,3,FALSE),"")</f>
        <v>5</v>
      </c>
      <c r="R6">
        <v>144</v>
      </c>
      <c r="S6" t="b">
        <v>0</v>
      </c>
      <c r="T6">
        <v>4</v>
      </c>
      <c r="Y6" s="17"/>
      <c r="Z6" s="17"/>
      <c r="AA6" s="17"/>
      <c r="AB6" s="17"/>
    </row>
    <row r="7" spans="1:28" x14ac:dyDescent="0.3">
      <c r="A7" s="10" t="s">
        <v>60</v>
      </c>
      <c r="B7" s="10" t="s">
        <v>61</v>
      </c>
      <c r="C7" s="10" t="s">
        <v>52</v>
      </c>
      <c r="D7" s="15">
        <v>7109</v>
      </c>
      <c r="E7" s="17">
        <v>66.028478000000007</v>
      </c>
      <c r="F7" s="17">
        <v>342.17788388535695</v>
      </c>
      <c r="G7" s="17">
        <v>261.1248272088842</v>
      </c>
      <c r="H7" s="17">
        <v>0</v>
      </c>
      <c r="I7" s="17">
        <v>57.290234224211083</v>
      </c>
      <c r="J7" s="17">
        <v>23.762822452261585</v>
      </c>
      <c r="K7" s="12" t="s">
        <v>682</v>
      </c>
      <c r="L7" s="1">
        <f>VLOOKUP(K7,Paramètres!$A$18:$B$21,2,FALSE)</f>
        <v>0.21</v>
      </c>
      <c r="M7" s="1">
        <f>VLOOKUP($K7,Paramètres!$A$27:$D$30,2,FALSE)</f>
        <v>0.33</v>
      </c>
      <c r="N7" s="1">
        <f>VLOOKUP($K7,Paramètres!$A$27:$D$30,3,FALSE)</f>
        <v>0.35</v>
      </c>
      <c r="O7" s="1">
        <f>VLOOKUP($K7,Paramètres!$A$27:$D$30,4,FALSE)</f>
        <v>0.32</v>
      </c>
      <c r="P7">
        <f>_xlfn.IFNA(VLOOKUP($K7,Paramètres!$A$38:$C$41,2,FALSE),"")</f>
        <v>4</v>
      </c>
      <c r="Q7">
        <f>_xlfn.IFNA(VLOOKUP($K7,Paramètres!$A$38:$C$41,3,FALSE),"")</f>
        <v>5</v>
      </c>
      <c r="R7">
        <v>151</v>
      </c>
      <c r="S7" t="b">
        <v>1</v>
      </c>
      <c r="T7">
        <v>4</v>
      </c>
      <c r="Y7" s="17"/>
      <c r="Z7" s="17"/>
      <c r="AA7" s="17"/>
      <c r="AB7" s="17"/>
    </row>
    <row r="8" spans="1:28" x14ac:dyDescent="0.3">
      <c r="A8" s="10" t="s">
        <v>62</v>
      </c>
      <c r="B8" s="10" t="s">
        <v>63</v>
      </c>
      <c r="C8" s="10" t="s">
        <v>52</v>
      </c>
      <c r="D8" s="15">
        <v>29110</v>
      </c>
      <c r="E8" s="17">
        <v>23.346246000000001</v>
      </c>
      <c r="F8" s="17">
        <v>188.84304720442245</v>
      </c>
      <c r="G8" s="17">
        <v>46.124376843115854</v>
      </c>
      <c r="H8" s="17">
        <v>29.634530919682888</v>
      </c>
      <c r="I8" s="17">
        <v>34.771658355930327</v>
      </c>
      <c r="J8" s="17">
        <v>78.312481085693378</v>
      </c>
      <c r="K8" s="12" t="s">
        <v>681</v>
      </c>
      <c r="L8" s="1">
        <f>VLOOKUP(K8,Paramètres!$A$18:$B$21,2,FALSE)</f>
        <v>0.34</v>
      </c>
      <c r="M8" s="1">
        <f>VLOOKUP($K8,Paramètres!$A$27:$D$30,2,FALSE)</f>
        <v>0.26</v>
      </c>
      <c r="N8" s="1">
        <f>VLOOKUP($K8,Paramètres!$A$27:$D$30,3,FALSE)</f>
        <v>0.33</v>
      </c>
      <c r="O8" s="1">
        <f>VLOOKUP($K8,Paramètres!$A$27:$D$30,4,FALSE)</f>
        <v>0.41</v>
      </c>
      <c r="P8">
        <f>_xlfn.IFNA(VLOOKUP($K8,Paramètres!$A$38:$C$41,2,FALSE),"")</f>
        <v>3</v>
      </c>
      <c r="Q8">
        <f>_xlfn.IFNA(VLOOKUP($K8,Paramètres!$A$38:$C$41,3,FALSE),"")</f>
        <v>5</v>
      </c>
      <c r="R8">
        <v>325</v>
      </c>
      <c r="S8" t="b">
        <v>1</v>
      </c>
      <c r="T8">
        <v>9</v>
      </c>
      <c r="Y8" s="17"/>
      <c r="Z8" s="17"/>
      <c r="AA8" s="17"/>
      <c r="AB8" s="17"/>
    </row>
    <row r="9" spans="1:28" x14ac:dyDescent="0.3">
      <c r="A9" s="10" t="s">
        <v>64</v>
      </c>
      <c r="B9" s="10" t="s">
        <v>65</v>
      </c>
      <c r="C9" s="10" t="s">
        <v>52</v>
      </c>
      <c r="D9" s="15">
        <v>4204</v>
      </c>
      <c r="E9" s="17">
        <v>37.316817999999998</v>
      </c>
      <c r="F9" s="17">
        <v>164.58713414998147</v>
      </c>
      <c r="G9" s="17">
        <v>114.9584039200037</v>
      </c>
      <c r="H9" s="17">
        <v>18.580950010555572</v>
      </c>
      <c r="I9" s="17">
        <v>21.590338465390246</v>
      </c>
      <c r="J9" s="17">
        <v>9.4574417540319491</v>
      </c>
      <c r="K9" s="12" t="s">
        <v>682</v>
      </c>
      <c r="L9" s="1">
        <f>VLOOKUP(K9,Paramètres!$A$18:$B$21,2,FALSE)</f>
        <v>0.21</v>
      </c>
      <c r="M9" s="1">
        <f>VLOOKUP($K9,Paramètres!$A$27:$D$30,2,FALSE)</f>
        <v>0.33</v>
      </c>
      <c r="N9" s="1">
        <f>VLOOKUP($K9,Paramètres!$A$27:$D$30,3,FALSE)</f>
        <v>0.35</v>
      </c>
      <c r="O9" s="1">
        <f>VLOOKUP($K9,Paramètres!$A$27:$D$30,4,FALSE)</f>
        <v>0.32</v>
      </c>
      <c r="P9">
        <f>_xlfn.IFNA(VLOOKUP($K9,Paramètres!$A$38:$C$41,2,FALSE),"")</f>
        <v>4</v>
      </c>
      <c r="Q9">
        <f>_xlfn.IFNA(VLOOKUP($K9,Paramètres!$A$38:$C$41,3,FALSE),"")</f>
        <v>5</v>
      </c>
      <c r="R9">
        <v>79</v>
      </c>
      <c r="S9" t="b">
        <v>0</v>
      </c>
      <c r="T9">
        <v>2</v>
      </c>
      <c r="Y9" s="17"/>
      <c r="Z9" s="17"/>
      <c r="AA9" s="17"/>
      <c r="AB9" s="17"/>
    </row>
    <row r="10" spans="1:28" x14ac:dyDescent="0.3">
      <c r="A10" s="10" t="s">
        <v>66</v>
      </c>
      <c r="B10" s="10" t="s">
        <v>67</v>
      </c>
      <c r="C10" s="10" t="s">
        <v>52</v>
      </c>
      <c r="D10" s="15">
        <v>7538</v>
      </c>
      <c r="E10" s="17">
        <v>31.330845</v>
      </c>
      <c r="F10" s="17">
        <v>187.95658860015769</v>
      </c>
      <c r="G10" s="17">
        <v>111.48331130646807</v>
      </c>
      <c r="H10" s="17">
        <v>19.087716319808944</v>
      </c>
      <c r="I10" s="17">
        <v>23.145320955718596</v>
      </c>
      <c r="J10" s="17">
        <v>34.240240018162048</v>
      </c>
      <c r="K10" s="12" t="s">
        <v>682</v>
      </c>
      <c r="L10" s="1">
        <f>VLOOKUP(K10,Paramètres!$A$18:$B$21,2,FALSE)</f>
        <v>0.21</v>
      </c>
      <c r="M10" s="1">
        <f>VLOOKUP($K10,Paramètres!$A$27:$D$30,2,FALSE)</f>
        <v>0.33</v>
      </c>
      <c r="N10" s="1">
        <f>VLOOKUP($K10,Paramètres!$A$27:$D$30,3,FALSE)</f>
        <v>0.35</v>
      </c>
      <c r="O10" s="1">
        <f>VLOOKUP($K10,Paramètres!$A$27:$D$30,4,FALSE)</f>
        <v>0.32</v>
      </c>
      <c r="P10">
        <f>_xlfn.IFNA(VLOOKUP($K10,Paramètres!$A$38:$C$41,2,FALSE),"")</f>
        <v>4</v>
      </c>
      <c r="Q10">
        <f>_xlfn.IFNA(VLOOKUP($K10,Paramètres!$A$38:$C$41,3,FALSE),"")</f>
        <v>5</v>
      </c>
      <c r="R10">
        <v>191</v>
      </c>
      <c r="S10" t="b">
        <v>1</v>
      </c>
      <c r="T10">
        <v>5</v>
      </c>
      <c r="Y10" s="17"/>
      <c r="Z10" s="17"/>
      <c r="AA10" s="17"/>
      <c r="AB10" s="17"/>
    </row>
    <row r="11" spans="1:28" x14ac:dyDescent="0.3">
      <c r="A11" s="10" t="s">
        <v>68</v>
      </c>
      <c r="B11" s="10" t="s">
        <v>69</v>
      </c>
      <c r="C11" s="10" t="s">
        <v>52</v>
      </c>
      <c r="D11" s="15">
        <v>31492</v>
      </c>
      <c r="E11" s="17">
        <v>119.058744</v>
      </c>
      <c r="F11" s="17">
        <v>728.86688946707636</v>
      </c>
      <c r="G11" s="17">
        <v>496.97486845199353</v>
      </c>
      <c r="H11" s="17">
        <v>59.917569847974349</v>
      </c>
      <c r="I11" s="17">
        <v>93.58300077316872</v>
      </c>
      <c r="J11" s="17">
        <v>78.391450393939706</v>
      </c>
      <c r="K11" s="12" t="s">
        <v>681</v>
      </c>
      <c r="L11" s="1">
        <f>VLOOKUP(K11,Paramètres!$A$18:$B$21,2,FALSE)</f>
        <v>0.34</v>
      </c>
      <c r="M11" s="1">
        <f>VLOOKUP($K11,Paramètres!$A$27:$D$30,2,FALSE)</f>
        <v>0.26</v>
      </c>
      <c r="N11" s="1">
        <f>VLOOKUP($K11,Paramètres!$A$27:$D$30,3,FALSE)</f>
        <v>0.33</v>
      </c>
      <c r="O11" s="1">
        <f>VLOOKUP($K11,Paramètres!$A$27:$D$30,4,FALSE)</f>
        <v>0.41</v>
      </c>
      <c r="P11">
        <f>_xlfn.IFNA(VLOOKUP($K11,Paramètres!$A$38:$C$41,2,FALSE),"")</f>
        <v>3</v>
      </c>
      <c r="Q11">
        <f>_xlfn.IFNA(VLOOKUP($K11,Paramètres!$A$38:$C$41,3,FALSE),"")</f>
        <v>5</v>
      </c>
      <c r="R11">
        <v>351</v>
      </c>
      <c r="S11" t="b">
        <v>1</v>
      </c>
      <c r="T11">
        <v>9</v>
      </c>
      <c r="Y11" s="17"/>
      <c r="Z11" s="17"/>
      <c r="AA11" s="17"/>
      <c r="AB11" s="17"/>
    </row>
    <row r="12" spans="1:28" x14ac:dyDescent="0.3">
      <c r="A12" s="10" t="s">
        <v>70</v>
      </c>
      <c r="B12" s="10" t="s">
        <v>71</v>
      </c>
      <c r="C12" s="10" t="s">
        <v>52</v>
      </c>
      <c r="D12" s="15">
        <v>7343</v>
      </c>
      <c r="E12" s="17">
        <v>78.527074999999996</v>
      </c>
      <c r="F12" s="17">
        <v>347.7258766563225</v>
      </c>
      <c r="G12" s="17">
        <v>236.5825102172802</v>
      </c>
      <c r="H12" s="17">
        <v>66.011703703371523</v>
      </c>
      <c r="I12" s="17">
        <v>39.231280449166725</v>
      </c>
      <c r="J12" s="17">
        <v>5.9003822865040538</v>
      </c>
      <c r="K12" s="12" t="s">
        <v>682</v>
      </c>
      <c r="L12" s="1">
        <f>VLOOKUP(K12,Paramètres!$A$18:$B$21,2,FALSE)</f>
        <v>0.21</v>
      </c>
      <c r="M12" s="1">
        <f>VLOOKUP($K12,Paramètres!$A$27:$D$30,2,FALSE)</f>
        <v>0.33</v>
      </c>
      <c r="N12" s="1">
        <f>VLOOKUP($K12,Paramètres!$A$27:$D$30,3,FALSE)</f>
        <v>0.35</v>
      </c>
      <c r="O12" s="1">
        <f>VLOOKUP($K12,Paramètres!$A$27:$D$30,4,FALSE)</f>
        <v>0.32</v>
      </c>
      <c r="P12">
        <f>_xlfn.IFNA(VLOOKUP($K12,Paramètres!$A$38:$C$41,2,FALSE),"")</f>
        <v>4</v>
      </c>
      <c r="Q12">
        <f>_xlfn.IFNA(VLOOKUP($K12,Paramètres!$A$38:$C$41,3,FALSE),"")</f>
        <v>5</v>
      </c>
      <c r="R12">
        <v>128</v>
      </c>
      <c r="S12" t="b">
        <v>0</v>
      </c>
      <c r="T12">
        <v>3</v>
      </c>
      <c r="Y12" s="17"/>
      <c r="Z12" s="17"/>
      <c r="AA12" s="17"/>
      <c r="AB12" s="17"/>
    </row>
    <row r="13" spans="1:28" x14ac:dyDescent="0.3">
      <c r="A13" s="10" t="s">
        <v>72</v>
      </c>
      <c r="B13" s="10" t="s">
        <v>73</v>
      </c>
      <c r="C13" s="10" t="s">
        <v>52</v>
      </c>
      <c r="D13" s="15">
        <v>30123</v>
      </c>
      <c r="E13" s="17">
        <v>127.898967</v>
      </c>
      <c r="F13" s="17">
        <v>644.10151292260139</v>
      </c>
      <c r="G13" s="17">
        <v>376.92786142340475</v>
      </c>
      <c r="H13" s="17">
        <v>137.54049707409186</v>
      </c>
      <c r="I13" s="17">
        <v>63.439176476779245</v>
      </c>
      <c r="J13" s="17">
        <v>66.19397794832561</v>
      </c>
      <c r="K13" s="12" t="s">
        <v>681</v>
      </c>
      <c r="L13" s="1">
        <f>VLOOKUP(K13,Paramètres!$A$18:$B$21,2,FALSE)</f>
        <v>0.34</v>
      </c>
      <c r="M13" s="1">
        <f>VLOOKUP($K13,Paramètres!$A$27:$D$30,2,FALSE)</f>
        <v>0.26</v>
      </c>
      <c r="N13" s="1">
        <f>VLOOKUP($K13,Paramètres!$A$27:$D$30,3,FALSE)</f>
        <v>0.33</v>
      </c>
      <c r="O13" s="1">
        <f>VLOOKUP($K13,Paramètres!$A$27:$D$30,4,FALSE)</f>
        <v>0.41</v>
      </c>
      <c r="P13">
        <f>_xlfn.IFNA(VLOOKUP($K13,Paramètres!$A$38:$C$41,2,FALSE),"")</f>
        <v>3</v>
      </c>
      <c r="Q13">
        <f>_xlfn.IFNA(VLOOKUP($K13,Paramètres!$A$38:$C$41,3,FALSE),"")</f>
        <v>5</v>
      </c>
      <c r="R13">
        <v>321</v>
      </c>
      <c r="S13" t="b">
        <v>0</v>
      </c>
      <c r="T13">
        <v>9</v>
      </c>
      <c r="Y13" s="17"/>
      <c r="Z13" s="17"/>
      <c r="AA13" s="17"/>
      <c r="AB13" s="17"/>
    </row>
    <row r="14" spans="1:28" x14ac:dyDescent="0.3">
      <c r="A14" s="10" t="s">
        <v>74</v>
      </c>
      <c r="B14" s="10" t="s">
        <v>75</v>
      </c>
      <c r="C14" s="10" t="s">
        <v>52</v>
      </c>
      <c r="D14" s="15">
        <v>5788</v>
      </c>
      <c r="E14" s="17">
        <v>71.084423000000001</v>
      </c>
      <c r="F14" s="17">
        <v>317.26374009619838</v>
      </c>
      <c r="G14" s="17">
        <v>266.39273353786893</v>
      </c>
      <c r="H14" s="17">
        <v>6.3730354907323301</v>
      </c>
      <c r="I14" s="17">
        <v>18.265167740106531</v>
      </c>
      <c r="J14" s="17">
        <v>26.232803327490593</v>
      </c>
      <c r="K14" s="12" t="s">
        <v>682</v>
      </c>
      <c r="L14" s="1">
        <f>VLOOKUP(K14,Paramètres!$A$18:$B$21,2,FALSE)</f>
        <v>0.21</v>
      </c>
      <c r="M14" s="1">
        <f>VLOOKUP($K14,Paramètres!$A$27:$D$30,2,FALSE)</f>
        <v>0.33</v>
      </c>
      <c r="N14" s="1">
        <f>VLOOKUP($K14,Paramètres!$A$27:$D$30,3,FALSE)</f>
        <v>0.35</v>
      </c>
      <c r="O14" s="1">
        <f>VLOOKUP($K14,Paramètres!$A$27:$D$30,4,FALSE)</f>
        <v>0.32</v>
      </c>
      <c r="P14">
        <f>_xlfn.IFNA(VLOOKUP($K14,Paramètres!$A$38:$C$41,2,FALSE),"")</f>
        <v>4</v>
      </c>
      <c r="Q14">
        <f>_xlfn.IFNA(VLOOKUP($K14,Paramètres!$A$38:$C$41,3,FALSE),"")</f>
        <v>5</v>
      </c>
      <c r="R14">
        <v>84</v>
      </c>
      <c r="S14" t="b">
        <v>0</v>
      </c>
      <c r="T14">
        <v>2</v>
      </c>
      <c r="Y14" s="17"/>
      <c r="Z14" s="17"/>
      <c r="AA14" s="17"/>
      <c r="AB14" s="17"/>
    </row>
    <row r="15" spans="1:28" x14ac:dyDescent="0.3">
      <c r="A15" s="10" t="s">
        <v>76</v>
      </c>
      <c r="B15" s="10" t="s">
        <v>77</v>
      </c>
      <c r="C15" s="10" t="s">
        <v>52</v>
      </c>
      <c r="D15" s="15">
        <v>17871</v>
      </c>
      <c r="E15" s="17">
        <v>46.111176999999998</v>
      </c>
      <c r="F15" s="17">
        <v>286.05803705442423</v>
      </c>
      <c r="G15" s="17">
        <v>154.63114194947053</v>
      </c>
      <c r="H15" s="17">
        <v>39.063657454722545</v>
      </c>
      <c r="I15" s="17">
        <v>13.879260522528616</v>
      </c>
      <c r="J15" s="17">
        <v>78.483977127702545</v>
      </c>
      <c r="K15" s="12" t="s">
        <v>682</v>
      </c>
      <c r="L15" s="1">
        <f>VLOOKUP(K15,Paramètres!$A$18:$B$21,2,FALSE)</f>
        <v>0.21</v>
      </c>
      <c r="M15" s="1">
        <f>VLOOKUP($K15,Paramètres!$A$27:$D$30,2,FALSE)</f>
        <v>0.33</v>
      </c>
      <c r="N15" s="1">
        <f>VLOOKUP($K15,Paramètres!$A$27:$D$30,3,FALSE)</f>
        <v>0.35</v>
      </c>
      <c r="O15" s="1">
        <f>VLOOKUP($K15,Paramètres!$A$27:$D$30,4,FALSE)</f>
        <v>0.32</v>
      </c>
      <c r="P15">
        <f>_xlfn.IFNA(VLOOKUP($K15,Paramètres!$A$38:$C$41,2,FALSE),"")</f>
        <v>4</v>
      </c>
      <c r="Q15">
        <f>_xlfn.IFNA(VLOOKUP($K15,Paramètres!$A$38:$C$41,3,FALSE),"")</f>
        <v>5</v>
      </c>
      <c r="R15">
        <v>289</v>
      </c>
      <c r="S15" t="b">
        <v>1</v>
      </c>
      <c r="T15">
        <v>8</v>
      </c>
      <c r="Y15" s="17"/>
      <c r="Z15" s="17"/>
      <c r="AA15" s="17"/>
      <c r="AB15" s="17"/>
    </row>
    <row r="16" spans="1:28" x14ac:dyDescent="0.3">
      <c r="A16" s="10" t="s">
        <v>78</v>
      </c>
      <c r="B16" s="10" t="s">
        <v>79</v>
      </c>
      <c r="C16" s="10" t="s">
        <v>52</v>
      </c>
      <c r="D16" s="15">
        <v>4288</v>
      </c>
      <c r="E16" s="17">
        <v>18.849734999999999</v>
      </c>
      <c r="F16" s="17">
        <v>92.347242125138379</v>
      </c>
      <c r="G16" s="17">
        <v>3.3228350565233442</v>
      </c>
      <c r="H16" s="17">
        <v>73.028386680236309</v>
      </c>
      <c r="I16" s="17">
        <v>3.5421534797964487</v>
      </c>
      <c r="J16" s="17">
        <v>12.453866908582288</v>
      </c>
      <c r="K16" s="12" t="s">
        <v>682</v>
      </c>
      <c r="L16" s="1">
        <f>VLOOKUP(K16,Paramètres!$A$18:$B$21,2,FALSE)</f>
        <v>0.21</v>
      </c>
      <c r="M16" s="1">
        <f>VLOOKUP($K16,Paramètres!$A$27:$D$30,2,FALSE)</f>
        <v>0.33</v>
      </c>
      <c r="N16" s="1">
        <f>VLOOKUP($K16,Paramètres!$A$27:$D$30,3,FALSE)</f>
        <v>0.35</v>
      </c>
      <c r="O16" s="1">
        <f>VLOOKUP($K16,Paramètres!$A$27:$D$30,4,FALSE)</f>
        <v>0.32</v>
      </c>
      <c r="P16">
        <f>_xlfn.IFNA(VLOOKUP($K16,Paramètres!$A$38:$C$41,2,FALSE),"")</f>
        <v>4</v>
      </c>
      <c r="Q16">
        <f>_xlfn.IFNA(VLOOKUP($K16,Paramètres!$A$38:$C$41,3,FALSE),"")</f>
        <v>5</v>
      </c>
      <c r="R16">
        <v>133</v>
      </c>
      <c r="S16" t="b">
        <v>0</v>
      </c>
      <c r="T16">
        <v>4</v>
      </c>
      <c r="Y16" s="17"/>
      <c r="Z16" s="17"/>
      <c r="AA16" s="17"/>
      <c r="AB16" s="17"/>
    </row>
    <row r="17" spans="1:28" x14ac:dyDescent="0.3">
      <c r="A17" s="10" t="s">
        <v>80</v>
      </c>
      <c r="B17" s="10" t="s">
        <v>81</v>
      </c>
      <c r="C17" s="10" t="s">
        <v>52</v>
      </c>
      <c r="D17" s="15">
        <v>9373</v>
      </c>
      <c r="E17" s="17">
        <v>27.215088000000002</v>
      </c>
      <c r="F17" s="17">
        <v>143.71747755524211</v>
      </c>
      <c r="G17" s="17">
        <v>36.587405271422782</v>
      </c>
      <c r="H17" s="17">
        <v>57.347210324505674</v>
      </c>
      <c r="I17" s="17">
        <v>4.0663376304695751</v>
      </c>
      <c r="J17" s="17">
        <v>45.716524328844081</v>
      </c>
      <c r="K17" s="12" t="s">
        <v>682</v>
      </c>
      <c r="L17" s="1">
        <f>VLOOKUP(K17,Paramètres!$A$18:$B$21,2,FALSE)</f>
        <v>0.21</v>
      </c>
      <c r="M17" s="1">
        <f>VLOOKUP($K17,Paramètres!$A$27:$D$30,2,FALSE)</f>
        <v>0.33</v>
      </c>
      <c r="N17" s="1">
        <f>VLOOKUP($K17,Paramètres!$A$27:$D$30,3,FALSE)</f>
        <v>0.35</v>
      </c>
      <c r="O17" s="1">
        <f>VLOOKUP($K17,Paramètres!$A$27:$D$30,4,FALSE)</f>
        <v>0.32</v>
      </c>
      <c r="P17">
        <f>_xlfn.IFNA(VLOOKUP($K17,Paramètres!$A$38:$C$41,2,FALSE),"")</f>
        <v>4</v>
      </c>
      <c r="Q17">
        <f>_xlfn.IFNA(VLOOKUP($K17,Paramètres!$A$38:$C$41,3,FALSE),"")</f>
        <v>5</v>
      </c>
      <c r="R17">
        <v>158</v>
      </c>
      <c r="S17" t="b">
        <v>0</v>
      </c>
      <c r="T17">
        <v>4</v>
      </c>
      <c r="Y17" s="17"/>
      <c r="Z17" s="17"/>
      <c r="AA17" s="17"/>
      <c r="AB17" s="17"/>
    </row>
    <row r="18" spans="1:28" x14ac:dyDescent="0.3">
      <c r="A18" s="10" t="s">
        <v>82</v>
      </c>
      <c r="B18" s="10" t="s">
        <v>83</v>
      </c>
      <c r="C18" s="10" t="s">
        <v>52</v>
      </c>
      <c r="D18" s="15">
        <v>12969</v>
      </c>
      <c r="E18" s="17">
        <v>79.917787000000004</v>
      </c>
      <c r="F18" s="17">
        <v>549.32531244950565</v>
      </c>
      <c r="G18" s="17">
        <v>285.36636461753818</v>
      </c>
      <c r="H18" s="17">
        <v>153.63916077525093</v>
      </c>
      <c r="I18" s="17">
        <v>70.121289905992143</v>
      </c>
      <c r="J18" s="17">
        <v>40.198497150724393</v>
      </c>
      <c r="K18" s="12" t="s">
        <v>682</v>
      </c>
      <c r="L18" s="1">
        <f>VLOOKUP(K18,Paramètres!$A$18:$B$21,2,FALSE)</f>
        <v>0.21</v>
      </c>
      <c r="M18" s="1">
        <f>VLOOKUP($K18,Paramètres!$A$27:$D$30,2,FALSE)</f>
        <v>0.33</v>
      </c>
      <c r="N18" s="1">
        <f>VLOOKUP($K18,Paramètres!$A$27:$D$30,3,FALSE)</f>
        <v>0.35</v>
      </c>
      <c r="O18" s="1">
        <f>VLOOKUP($K18,Paramètres!$A$27:$D$30,4,FALSE)</f>
        <v>0.32</v>
      </c>
      <c r="P18">
        <f>_xlfn.IFNA(VLOOKUP($K18,Paramètres!$A$38:$C$41,2,FALSE),"")</f>
        <v>4</v>
      </c>
      <c r="Q18">
        <f>_xlfn.IFNA(VLOOKUP($K18,Paramètres!$A$38:$C$41,3,FALSE),"")</f>
        <v>5</v>
      </c>
      <c r="R18">
        <v>334</v>
      </c>
      <c r="S18" t="b">
        <v>1</v>
      </c>
      <c r="T18">
        <v>9</v>
      </c>
      <c r="Y18" s="17"/>
      <c r="Z18" s="17"/>
      <c r="AA18" s="17"/>
      <c r="AB18" s="17"/>
    </row>
    <row r="19" spans="1:28" x14ac:dyDescent="0.3">
      <c r="A19" s="10" t="s">
        <v>84</v>
      </c>
      <c r="B19" s="10" t="s">
        <v>85</v>
      </c>
      <c r="C19" s="10" t="s">
        <v>52</v>
      </c>
      <c r="D19" s="15">
        <v>4529</v>
      </c>
      <c r="E19" s="17">
        <v>85.645176000000006</v>
      </c>
      <c r="F19" s="17">
        <v>268.01804726762839</v>
      </c>
      <c r="G19" s="17">
        <v>191.60265319816818</v>
      </c>
      <c r="H19" s="17">
        <v>60.974017532146306</v>
      </c>
      <c r="I19" s="17">
        <v>0</v>
      </c>
      <c r="J19" s="17">
        <v>15.441376537313902</v>
      </c>
      <c r="K19" s="12" t="s">
        <v>682</v>
      </c>
      <c r="L19" s="1">
        <f>VLOOKUP(K19,Paramètres!$A$18:$B$21,2,FALSE)</f>
        <v>0.21</v>
      </c>
      <c r="M19" s="1">
        <f>VLOOKUP($K19,Paramètres!$A$27:$D$30,2,FALSE)</f>
        <v>0.33</v>
      </c>
      <c r="N19" s="1">
        <f>VLOOKUP($K19,Paramètres!$A$27:$D$30,3,FALSE)</f>
        <v>0.35</v>
      </c>
      <c r="O19" s="1">
        <f>VLOOKUP($K19,Paramètres!$A$27:$D$30,4,FALSE)</f>
        <v>0.32</v>
      </c>
      <c r="P19">
        <f>_xlfn.IFNA(VLOOKUP($K19,Paramètres!$A$38:$C$41,2,FALSE),"")</f>
        <v>4</v>
      </c>
      <c r="Q19">
        <f>_xlfn.IFNA(VLOOKUP($K19,Paramètres!$A$38:$C$41,3,FALSE),"")</f>
        <v>5</v>
      </c>
      <c r="R19">
        <v>60</v>
      </c>
      <c r="S19" t="b">
        <v>1</v>
      </c>
      <c r="T19">
        <v>2</v>
      </c>
      <c r="Y19" s="17"/>
      <c r="Z19" s="17"/>
      <c r="AA19" s="17"/>
      <c r="AB19" s="17"/>
    </row>
    <row r="20" spans="1:28" x14ac:dyDescent="0.3">
      <c r="A20" s="10" t="s">
        <v>86</v>
      </c>
      <c r="B20" s="10" t="s">
        <v>87</v>
      </c>
      <c r="C20" s="10" t="s">
        <v>52</v>
      </c>
      <c r="D20" s="15">
        <v>9053</v>
      </c>
      <c r="E20" s="17">
        <v>38.206186000000002</v>
      </c>
      <c r="F20" s="17">
        <v>221.41470658786864</v>
      </c>
      <c r="G20" s="17">
        <v>133.46079466218387</v>
      </c>
      <c r="H20" s="17">
        <v>13.866151091208922</v>
      </c>
      <c r="I20" s="17">
        <v>26.460654353598844</v>
      </c>
      <c r="J20" s="17">
        <v>47.627106480876989</v>
      </c>
      <c r="K20" s="12" t="s">
        <v>682</v>
      </c>
      <c r="L20" s="1">
        <f>VLOOKUP(K20,Paramètres!$A$18:$B$21,2,FALSE)</f>
        <v>0.21</v>
      </c>
      <c r="M20" s="1">
        <f>VLOOKUP($K20,Paramètres!$A$27:$D$30,2,FALSE)</f>
        <v>0.33</v>
      </c>
      <c r="N20" s="1">
        <f>VLOOKUP($K20,Paramètres!$A$27:$D$30,3,FALSE)</f>
        <v>0.35</v>
      </c>
      <c r="O20" s="1">
        <f>VLOOKUP($K20,Paramètres!$A$27:$D$30,4,FALSE)</f>
        <v>0.32</v>
      </c>
      <c r="P20">
        <f>_xlfn.IFNA(VLOOKUP($K20,Paramètres!$A$38:$C$41,2,FALSE),"")</f>
        <v>4</v>
      </c>
      <c r="Q20">
        <f>_xlfn.IFNA(VLOOKUP($K20,Paramètres!$A$38:$C$41,3,FALSE),"")</f>
        <v>5</v>
      </c>
      <c r="R20">
        <v>141</v>
      </c>
      <c r="S20" t="b">
        <v>1</v>
      </c>
      <c r="T20">
        <v>4</v>
      </c>
      <c r="Y20" s="17"/>
      <c r="Z20" s="17"/>
      <c r="AA20" s="17"/>
      <c r="AB20" s="17"/>
    </row>
    <row r="21" spans="1:28" x14ac:dyDescent="0.3">
      <c r="A21" s="10" t="s">
        <v>88</v>
      </c>
      <c r="B21" s="10" t="s">
        <v>736</v>
      </c>
      <c r="C21" s="10" t="s">
        <v>52</v>
      </c>
      <c r="D21" s="15">
        <v>20940</v>
      </c>
      <c r="E21" s="17">
        <v>264.68526000000003</v>
      </c>
      <c r="F21" s="17">
        <v>1161.7530708934964</v>
      </c>
      <c r="G21" s="17">
        <v>885.33469576551613</v>
      </c>
      <c r="H21" s="17">
        <v>125.58946624181574</v>
      </c>
      <c r="I21" s="17">
        <v>102.55155440336299</v>
      </c>
      <c r="J21" s="17">
        <v>48.277354482801513</v>
      </c>
      <c r="K21" s="12" t="s">
        <v>682</v>
      </c>
      <c r="L21" s="1">
        <f>VLOOKUP(K21,Paramètres!$A$18:$B$21,2,FALSE)</f>
        <v>0.21</v>
      </c>
      <c r="M21" s="1">
        <f>VLOOKUP($K21,Paramètres!$A$27:$D$30,2,FALSE)</f>
        <v>0.33</v>
      </c>
      <c r="N21" s="1">
        <f>VLOOKUP($K21,Paramètres!$A$27:$D$30,3,FALSE)</f>
        <v>0.35</v>
      </c>
      <c r="O21" s="1">
        <f>VLOOKUP($K21,Paramètres!$A$27:$D$30,4,FALSE)</f>
        <v>0.32</v>
      </c>
      <c r="P21">
        <f>_xlfn.IFNA(VLOOKUP($K21,Paramètres!$A$38:$C$41,2,FALSE),"")</f>
        <v>4</v>
      </c>
      <c r="Q21">
        <f>_xlfn.IFNA(VLOOKUP($K21,Paramètres!$A$38:$C$41,3,FALSE),"")</f>
        <v>5</v>
      </c>
      <c r="R21">
        <v>465</v>
      </c>
      <c r="S21" t="b">
        <v>0</v>
      </c>
      <c r="T21">
        <v>13</v>
      </c>
      <c r="Y21" s="17"/>
      <c r="Z21" s="17"/>
      <c r="AA21" s="17"/>
      <c r="AB21" s="17"/>
    </row>
    <row r="22" spans="1:28" x14ac:dyDescent="0.3">
      <c r="A22" s="10" t="s">
        <v>89</v>
      </c>
      <c r="B22" s="10" t="s">
        <v>90</v>
      </c>
      <c r="C22" s="10" t="s">
        <v>52</v>
      </c>
      <c r="D22" s="15">
        <v>7096</v>
      </c>
      <c r="E22" s="17">
        <v>93.476826000000003</v>
      </c>
      <c r="F22" s="17">
        <v>333.03242168368627</v>
      </c>
      <c r="G22" s="17">
        <v>237.58550919558874</v>
      </c>
      <c r="H22" s="17">
        <v>29.059192398192703</v>
      </c>
      <c r="I22" s="17">
        <v>60.936737856181566</v>
      </c>
      <c r="J22" s="17">
        <v>5.4509822337232752</v>
      </c>
      <c r="K22" s="12" t="s">
        <v>682</v>
      </c>
      <c r="L22" s="1">
        <f>VLOOKUP(K22,Paramètres!$A$18:$B$21,2,FALSE)</f>
        <v>0.21</v>
      </c>
      <c r="M22" s="1">
        <f>VLOOKUP($K22,Paramètres!$A$27:$D$30,2,FALSE)</f>
        <v>0.33</v>
      </c>
      <c r="N22" s="1">
        <f>VLOOKUP($K22,Paramètres!$A$27:$D$30,3,FALSE)</f>
        <v>0.35</v>
      </c>
      <c r="O22" s="1">
        <f>VLOOKUP($K22,Paramètres!$A$27:$D$30,4,FALSE)</f>
        <v>0.32</v>
      </c>
      <c r="P22">
        <f>_xlfn.IFNA(VLOOKUP($K22,Paramètres!$A$38:$C$41,2,FALSE),"")</f>
        <v>4</v>
      </c>
      <c r="Q22">
        <f>_xlfn.IFNA(VLOOKUP($K22,Paramètres!$A$38:$C$41,3,FALSE),"")</f>
        <v>5</v>
      </c>
      <c r="R22">
        <v>119</v>
      </c>
      <c r="S22" t="b">
        <v>0</v>
      </c>
      <c r="T22">
        <v>3</v>
      </c>
      <c r="Y22" s="17"/>
      <c r="Z22" s="17"/>
      <c r="AA22" s="17"/>
      <c r="AB22" s="17"/>
    </row>
    <row r="23" spans="1:28" x14ac:dyDescent="0.3">
      <c r="A23" s="10" t="s">
        <v>91</v>
      </c>
      <c r="B23" s="10" t="s">
        <v>92</v>
      </c>
      <c r="C23" s="10" t="s">
        <v>52</v>
      </c>
      <c r="D23" s="15">
        <v>9496</v>
      </c>
      <c r="E23" s="17">
        <v>174.62628599999999</v>
      </c>
      <c r="F23" s="17">
        <v>661.23043795072533</v>
      </c>
      <c r="G23" s="17">
        <v>573.03743140328618</v>
      </c>
      <c r="H23" s="17">
        <v>16.462867390484234</v>
      </c>
      <c r="I23" s="17">
        <v>38.878150003226118</v>
      </c>
      <c r="J23" s="17">
        <v>32.85198915372878</v>
      </c>
      <c r="K23" s="12" t="s">
        <v>682</v>
      </c>
      <c r="L23" s="1">
        <f>VLOOKUP(K23,Paramètres!$A$18:$B$21,2,FALSE)</f>
        <v>0.21</v>
      </c>
      <c r="M23" s="1">
        <f>VLOOKUP($K23,Paramètres!$A$27:$D$30,2,FALSE)</f>
        <v>0.33</v>
      </c>
      <c r="N23" s="1">
        <f>VLOOKUP($K23,Paramètres!$A$27:$D$30,3,FALSE)</f>
        <v>0.35</v>
      </c>
      <c r="O23" s="1">
        <f>VLOOKUP($K23,Paramètres!$A$27:$D$30,4,FALSE)</f>
        <v>0.32</v>
      </c>
      <c r="P23">
        <f>_xlfn.IFNA(VLOOKUP($K23,Paramètres!$A$38:$C$41,2,FALSE),"")</f>
        <v>4</v>
      </c>
      <c r="Q23">
        <f>_xlfn.IFNA(VLOOKUP($K23,Paramètres!$A$38:$C$41,3,FALSE),"")</f>
        <v>5</v>
      </c>
      <c r="R23">
        <v>180</v>
      </c>
      <c r="S23" t="b">
        <v>1</v>
      </c>
      <c r="T23">
        <v>5</v>
      </c>
      <c r="Y23" s="17"/>
      <c r="Z23" s="17"/>
      <c r="AA23" s="17"/>
      <c r="AB23" s="17"/>
    </row>
    <row r="24" spans="1:28" x14ac:dyDescent="0.3">
      <c r="A24" s="10" t="s">
        <v>93</v>
      </c>
      <c r="B24" s="10" t="s">
        <v>94</v>
      </c>
      <c r="C24" s="10" t="s">
        <v>52</v>
      </c>
      <c r="D24" s="15">
        <v>7242</v>
      </c>
      <c r="E24" s="17">
        <v>38.569146000000003</v>
      </c>
      <c r="F24" s="17">
        <v>186.2583902994661</v>
      </c>
      <c r="G24" s="17">
        <v>104.64353806362901</v>
      </c>
      <c r="H24" s="17">
        <v>16.415810173827822</v>
      </c>
      <c r="I24" s="17">
        <v>53.103248081175636</v>
      </c>
      <c r="J24" s="17">
        <v>12.095793980833639</v>
      </c>
      <c r="K24" s="12" t="s">
        <v>682</v>
      </c>
      <c r="L24" s="1">
        <f>VLOOKUP(K24,Paramètres!$A$18:$B$21,2,FALSE)</f>
        <v>0.21</v>
      </c>
      <c r="M24" s="1">
        <f>VLOOKUP($K24,Paramètres!$A$27:$D$30,2,FALSE)</f>
        <v>0.33</v>
      </c>
      <c r="N24" s="1">
        <f>VLOOKUP($K24,Paramètres!$A$27:$D$30,3,FALSE)</f>
        <v>0.35</v>
      </c>
      <c r="O24" s="1">
        <f>VLOOKUP($K24,Paramètres!$A$27:$D$30,4,FALSE)</f>
        <v>0.32</v>
      </c>
      <c r="P24">
        <f>_xlfn.IFNA(VLOOKUP($K24,Paramètres!$A$38:$C$41,2,FALSE),"")</f>
        <v>4</v>
      </c>
      <c r="Q24">
        <f>_xlfn.IFNA(VLOOKUP($K24,Paramètres!$A$38:$C$41,3,FALSE),"")</f>
        <v>5</v>
      </c>
      <c r="R24">
        <v>141</v>
      </c>
      <c r="S24" t="b">
        <v>1</v>
      </c>
      <c r="T24">
        <v>4</v>
      </c>
      <c r="Y24" s="17"/>
      <c r="Z24" s="17"/>
      <c r="AA24" s="17"/>
      <c r="AB24" s="17"/>
    </row>
    <row r="25" spans="1:28" x14ac:dyDescent="0.3">
      <c r="A25" s="10" t="s">
        <v>95</v>
      </c>
      <c r="B25" s="10" t="s">
        <v>96</v>
      </c>
      <c r="C25" s="10" t="s">
        <v>52</v>
      </c>
      <c r="D25" s="15">
        <v>14232</v>
      </c>
      <c r="E25" s="17">
        <v>62.264378999999998</v>
      </c>
      <c r="F25" s="17">
        <v>282.55974918121888</v>
      </c>
      <c r="G25" s="17">
        <v>167.82624124316402</v>
      </c>
      <c r="H25" s="17">
        <v>31.213103166604803</v>
      </c>
      <c r="I25" s="17">
        <v>62.596819159746403</v>
      </c>
      <c r="J25" s="17">
        <v>20.923585611703668</v>
      </c>
      <c r="K25" s="12" t="s">
        <v>682</v>
      </c>
      <c r="L25" s="1">
        <f>VLOOKUP(K25,Paramètres!$A$18:$B$21,2,FALSE)</f>
        <v>0.21</v>
      </c>
      <c r="M25" s="1">
        <f>VLOOKUP($K25,Paramètres!$A$27:$D$30,2,FALSE)</f>
        <v>0.33</v>
      </c>
      <c r="N25" s="1">
        <f>VLOOKUP($K25,Paramètres!$A$27:$D$30,3,FALSE)</f>
        <v>0.35</v>
      </c>
      <c r="O25" s="1">
        <f>VLOOKUP($K25,Paramètres!$A$27:$D$30,4,FALSE)</f>
        <v>0.32</v>
      </c>
      <c r="P25">
        <f>_xlfn.IFNA(VLOOKUP($K25,Paramètres!$A$38:$C$41,2,FALSE),"")</f>
        <v>4</v>
      </c>
      <c r="Q25">
        <f>_xlfn.IFNA(VLOOKUP($K25,Paramètres!$A$38:$C$41,3,FALSE),"")</f>
        <v>5</v>
      </c>
      <c r="R25">
        <v>160</v>
      </c>
      <c r="S25" t="b">
        <v>0</v>
      </c>
      <c r="T25">
        <v>4</v>
      </c>
      <c r="Y25" s="17"/>
      <c r="Z25" s="17"/>
      <c r="AA25" s="17"/>
      <c r="AB25" s="17"/>
    </row>
    <row r="26" spans="1:28" x14ac:dyDescent="0.3">
      <c r="A26" s="10" t="s">
        <v>97</v>
      </c>
      <c r="B26" s="10" t="s">
        <v>98</v>
      </c>
      <c r="C26" s="10" t="s">
        <v>52</v>
      </c>
      <c r="D26" s="15">
        <v>3394</v>
      </c>
      <c r="E26" s="17">
        <v>14.508062000000001</v>
      </c>
      <c r="F26" s="17">
        <v>68.789587820251938</v>
      </c>
      <c r="G26" s="17">
        <v>45.565348563398992</v>
      </c>
      <c r="H26" s="17">
        <v>0</v>
      </c>
      <c r="I26" s="17">
        <v>21.889291373419262</v>
      </c>
      <c r="J26" s="17">
        <v>1.334947883433689</v>
      </c>
      <c r="K26" s="12" t="s">
        <v>682</v>
      </c>
      <c r="L26" s="1">
        <f>VLOOKUP(K26,Paramètres!$A$18:$B$21,2,FALSE)</f>
        <v>0.21</v>
      </c>
      <c r="M26" s="1">
        <f>VLOOKUP($K26,Paramètres!$A$27:$D$30,2,FALSE)</f>
        <v>0.33</v>
      </c>
      <c r="N26" s="1">
        <f>VLOOKUP($K26,Paramètres!$A$27:$D$30,3,FALSE)</f>
        <v>0.35</v>
      </c>
      <c r="O26" s="1">
        <f>VLOOKUP($K26,Paramètres!$A$27:$D$30,4,FALSE)</f>
        <v>0.32</v>
      </c>
      <c r="P26">
        <f>_xlfn.IFNA(VLOOKUP($K26,Paramètres!$A$38:$C$41,2,FALSE),"")</f>
        <v>4</v>
      </c>
      <c r="Q26">
        <f>_xlfn.IFNA(VLOOKUP($K26,Paramètres!$A$38:$C$41,3,FALSE),"")</f>
        <v>5</v>
      </c>
      <c r="R26">
        <v>59</v>
      </c>
      <c r="S26" t="b">
        <v>0</v>
      </c>
      <c r="T26">
        <v>2</v>
      </c>
      <c r="Y26" s="17"/>
      <c r="Z26" s="17"/>
      <c r="AA26" s="17"/>
      <c r="AB26" s="17"/>
    </row>
    <row r="27" spans="1:28" x14ac:dyDescent="0.3">
      <c r="A27" s="10" t="s">
        <v>99</v>
      </c>
      <c r="B27" s="10" t="s">
        <v>100</v>
      </c>
      <c r="C27" s="10" t="s">
        <v>52</v>
      </c>
      <c r="D27" s="15">
        <v>11894</v>
      </c>
      <c r="E27" s="17">
        <v>43.808641999999999</v>
      </c>
      <c r="F27" s="17">
        <v>214.80788196146372</v>
      </c>
      <c r="G27" s="17">
        <v>104.7892555508375</v>
      </c>
      <c r="H27" s="17">
        <v>34.509294493554201</v>
      </c>
      <c r="I27" s="17">
        <v>46.773725264782229</v>
      </c>
      <c r="J27" s="17">
        <v>28.735606652289796</v>
      </c>
      <c r="K27" s="12" t="s">
        <v>682</v>
      </c>
      <c r="L27" s="1">
        <f>VLOOKUP(K27,Paramètres!$A$18:$B$21,2,FALSE)</f>
        <v>0.21</v>
      </c>
      <c r="M27" s="1">
        <f>VLOOKUP($K27,Paramètres!$A$27:$D$30,2,FALSE)</f>
        <v>0.33</v>
      </c>
      <c r="N27" s="1">
        <f>VLOOKUP($K27,Paramètres!$A$27:$D$30,3,FALSE)</f>
        <v>0.35</v>
      </c>
      <c r="O27" s="1">
        <f>VLOOKUP($K27,Paramètres!$A$27:$D$30,4,FALSE)</f>
        <v>0.32</v>
      </c>
      <c r="P27">
        <f>_xlfn.IFNA(VLOOKUP($K27,Paramètres!$A$38:$C$41,2,FALSE),"")</f>
        <v>4</v>
      </c>
      <c r="Q27">
        <f>_xlfn.IFNA(VLOOKUP($K27,Paramètres!$A$38:$C$41,3,FALSE),"")</f>
        <v>5</v>
      </c>
      <c r="R27">
        <v>107</v>
      </c>
      <c r="S27" t="b">
        <v>1</v>
      </c>
      <c r="T27">
        <v>3</v>
      </c>
      <c r="Y27" s="17"/>
      <c r="Z27" s="17"/>
      <c r="AA27" s="17"/>
      <c r="AB27" s="17"/>
    </row>
    <row r="28" spans="1:28" x14ac:dyDescent="0.3">
      <c r="A28" s="10" t="s">
        <v>101</v>
      </c>
      <c r="B28" s="10" t="s">
        <v>102</v>
      </c>
      <c r="C28" s="10" t="s">
        <v>52</v>
      </c>
      <c r="D28" s="15">
        <v>9057</v>
      </c>
      <c r="E28" s="17">
        <v>138.48889800000001</v>
      </c>
      <c r="F28" s="17">
        <v>682.80159078846566</v>
      </c>
      <c r="G28" s="17">
        <v>606.91600757783738</v>
      </c>
      <c r="H28" s="17">
        <v>6.1160043439856882</v>
      </c>
      <c r="I28" s="17">
        <v>49.488722233498045</v>
      </c>
      <c r="J28" s="17">
        <v>20.280856633144548</v>
      </c>
      <c r="K28" s="12" t="s">
        <v>682</v>
      </c>
      <c r="L28" s="1">
        <f>VLOOKUP(K28,Paramètres!$A$18:$B$21,2,FALSE)</f>
        <v>0.21</v>
      </c>
      <c r="M28" s="1">
        <f>VLOOKUP($K28,Paramètres!$A$27:$D$30,2,FALSE)</f>
        <v>0.33</v>
      </c>
      <c r="N28" s="1">
        <f>VLOOKUP($K28,Paramètres!$A$27:$D$30,3,FALSE)</f>
        <v>0.35</v>
      </c>
      <c r="O28" s="1">
        <f>VLOOKUP($K28,Paramètres!$A$27:$D$30,4,FALSE)</f>
        <v>0.32</v>
      </c>
      <c r="P28">
        <f>_xlfn.IFNA(VLOOKUP($K28,Paramètres!$A$38:$C$41,2,FALSE),"")</f>
        <v>4</v>
      </c>
      <c r="Q28">
        <f>_xlfn.IFNA(VLOOKUP($K28,Paramètres!$A$38:$C$41,3,FALSE),"")</f>
        <v>5</v>
      </c>
      <c r="R28">
        <v>220</v>
      </c>
      <c r="S28" t="b">
        <v>1</v>
      </c>
      <c r="T28">
        <v>6</v>
      </c>
      <c r="Y28" s="17"/>
      <c r="Z28" s="17"/>
      <c r="AA28" s="17"/>
      <c r="AB28" s="17"/>
    </row>
    <row r="29" spans="1:28" x14ac:dyDescent="0.3">
      <c r="A29" s="10" t="s">
        <v>103</v>
      </c>
      <c r="B29" s="10" t="s">
        <v>104</v>
      </c>
      <c r="C29" s="10" t="s">
        <v>52</v>
      </c>
      <c r="D29" s="15">
        <v>11977</v>
      </c>
      <c r="E29" s="17">
        <v>7.2852209999999999</v>
      </c>
      <c r="F29" s="17">
        <v>66.89121035678204</v>
      </c>
      <c r="G29" s="17">
        <v>4.8580509905574552</v>
      </c>
      <c r="H29" s="17">
        <v>10.65675868790704</v>
      </c>
      <c r="I29" s="17">
        <v>2.6030438945975498</v>
      </c>
      <c r="J29" s="17">
        <v>48.77335678371999</v>
      </c>
      <c r="K29" s="12" t="s">
        <v>682</v>
      </c>
      <c r="L29" s="1">
        <f>VLOOKUP(K29,Paramètres!$A$18:$B$21,2,FALSE)</f>
        <v>0.21</v>
      </c>
      <c r="M29" s="1">
        <f>VLOOKUP($K29,Paramètres!$A$27:$D$30,2,FALSE)</f>
        <v>0.33</v>
      </c>
      <c r="N29" s="1">
        <f>VLOOKUP($K29,Paramètres!$A$27:$D$30,3,FALSE)</f>
        <v>0.35</v>
      </c>
      <c r="O29" s="1">
        <f>VLOOKUP($K29,Paramètres!$A$27:$D$30,4,FALSE)</f>
        <v>0.32</v>
      </c>
      <c r="P29">
        <f>_xlfn.IFNA(VLOOKUP($K29,Paramètres!$A$38:$C$41,2,FALSE),"")</f>
        <v>4</v>
      </c>
      <c r="Q29">
        <f>_xlfn.IFNA(VLOOKUP($K29,Paramètres!$A$38:$C$41,3,FALSE),"")</f>
        <v>5</v>
      </c>
      <c r="R29">
        <v>81</v>
      </c>
      <c r="S29" t="b">
        <v>1</v>
      </c>
      <c r="T29">
        <v>2</v>
      </c>
      <c r="Y29" s="17"/>
      <c r="Z29" s="17"/>
      <c r="AA29" s="17"/>
      <c r="AB29" s="17"/>
    </row>
    <row r="30" spans="1:28" x14ac:dyDescent="0.3">
      <c r="A30" s="10" t="s">
        <v>105</v>
      </c>
      <c r="B30" s="10" t="s">
        <v>106</v>
      </c>
      <c r="C30" s="10" t="s">
        <v>52</v>
      </c>
      <c r="D30" s="15">
        <v>3467</v>
      </c>
      <c r="E30" s="17">
        <v>109.547578</v>
      </c>
      <c r="F30" s="17">
        <v>546.23809781659884</v>
      </c>
      <c r="G30" s="17">
        <v>503.76148998652621</v>
      </c>
      <c r="H30" s="17">
        <v>13.762074325919121</v>
      </c>
      <c r="I30" s="17">
        <v>23.848421865486458</v>
      </c>
      <c r="J30" s="17">
        <v>4.8661116386671575</v>
      </c>
      <c r="K30" s="12" t="s">
        <v>682</v>
      </c>
      <c r="L30" s="1">
        <f>VLOOKUP(K30,Paramètres!$A$18:$B$21,2,FALSE)</f>
        <v>0.21</v>
      </c>
      <c r="M30" s="1">
        <f>VLOOKUP($K30,Paramètres!$A$27:$D$30,2,FALSE)</f>
        <v>0.33</v>
      </c>
      <c r="N30" s="1">
        <f>VLOOKUP($K30,Paramètres!$A$27:$D$30,3,FALSE)</f>
        <v>0.35</v>
      </c>
      <c r="O30" s="1">
        <f>VLOOKUP($K30,Paramètres!$A$27:$D$30,4,FALSE)</f>
        <v>0.32</v>
      </c>
      <c r="P30">
        <f>_xlfn.IFNA(VLOOKUP($K30,Paramètres!$A$38:$C$41,2,FALSE),"")</f>
        <v>4</v>
      </c>
      <c r="Q30">
        <f>_xlfn.IFNA(VLOOKUP($K30,Paramètres!$A$38:$C$41,3,FALSE),"")</f>
        <v>5</v>
      </c>
      <c r="R30">
        <v>103</v>
      </c>
      <c r="S30" t="b">
        <v>0</v>
      </c>
      <c r="T30">
        <v>3</v>
      </c>
      <c r="Y30" s="17"/>
      <c r="Z30" s="17"/>
      <c r="AA30" s="17"/>
      <c r="AB30" s="17"/>
    </row>
    <row r="31" spans="1:28" x14ac:dyDescent="0.3">
      <c r="A31" s="10" t="s">
        <v>107</v>
      </c>
      <c r="B31" s="10" t="s">
        <v>108</v>
      </c>
      <c r="C31" s="10" t="s">
        <v>52</v>
      </c>
      <c r="D31" s="15">
        <v>33784</v>
      </c>
      <c r="E31" s="17">
        <v>61.221870000000003</v>
      </c>
      <c r="F31" s="17">
        <v>343.71215606482042</v>
      </c>
      <c r="G31" s="17">
        <v>87.999935403496266</v>
      </c>
      <c r="H31" s="17">
        <v>94.32180697903452</v>
      </c>
      <c r="I31" s="17">
        <v>57.700079520578996</v>
      </c>
      <c r="J31" s="17">
        <v>103.69033416171065</v>
      </c>
      <c r="K31" s="12" t="s">
        <v>681</v>
      </c>
      <c r="L31" s="1">
        <f>VLOOKUP(K31,Paramètres!$A$18:$B$21,2,FALSE)</f>
        <v>0.34</v>
      </c>
      <c r="M31" s="1">
        <f>VLOOKUP($K31,Paramètres!$A$27:$D$30,2,FALSE)</f>
        <v>0.26</v>
      </c>
      <c r="N31" s="1">
        <f>VLOOKUP($K31,Paramètres!$A$27:$D$30,3,FALSE)</f>
        <v>0.33</v>
      </c>
      <c r="O31" s="1">
        <f>VLOOKUP($K31,Paramètres!$A$27:$D$30,4,FALSE)</f>
        <v>0.41</v>
      </c>
      <c r="P31">
        <f>_xlfn.IFNA(VLOOKUP($K31,Paramètres!$A$38:$C$41,2,FALSE),"")</f>
        <v>3</v>
      </c>
      <c r="Q31">
        <f>_xlfn.IFNA(VLOOKUP($K31,Paramètres!$A$38:$C$41,3,FALSE),"")</f>
        <v>5</v>
      </c>
      <c r="R31">
        <v>313</v>
      </c>
      <c r="S31" t="b">
        <v>0</v>
      </c>
      <c r="T31">
        <v>8</v>
      </c>
      <c r="Y31" s="17"/>
      <c r="Z31" s="17"/>
      <c r="AA31" s="17"/>
      <c r="AB31" s="17"/>
    </row>
    <row r="32" spans="1:28" x14ac:dyDescent="0.3">
      <c r="A32" s="10" t="s">
        <v>109</v>
      </c>
      <c r="B32" s="10" t="s">
        <v>110</v>
      </c>
      <c r="C32" s="10" t="s">
        <v>52</v>
      </c>
      <c r="D32" s="15">
        <v>13579</v>
      </c>
      <c r="E32" s="17">
        <v>26.078509</v>
      </c>
      <c r="F32" s="17">
        <v>179.19500554789019</v>
      </c>
      <c r="G32" s="17">
        <v>0.1738175172215512</v>
      </c>
      <c r="H32" s="17">
        <v>112.44819153448194</v>
      </c>
      <c r="I32" s="17">
        <v>18.615533283169551</v>
      </c>
      <c r="J32" s="17">
        <v>47.957463213017185</v>
      </c>
      <c r="K32" s="12" t="s">
        <v>682</v>
      </c>
      <c r="L32" s="1">
        <f>VLOOKUP(K32,Paramètres!$A$18:$B$21,2,FALSE)</f>
        <v>0.21</v>
      </c>
      <c r="M32" s="1">
        <f>VLOOKUP($K32,Paramètres!$A$27:$D$30,2,FALSE)</f>
        <v>0.33</v>
      </c>
      <c r="N32" s="1">
        <f>VLOOKUP($K32,Paramètres!$A$27:$D$30,3,FALSE)</f>
        <v>0.35</v>
      </c>
      <c r="O32" s="1">
        <f>VLOOKUP($K32,Paramètres!$A$27:$D$30,4,FALSE)</f>
        <v>0.32</v>
      </c>
      <c r="P32">
        <f>_xlfn.IFNA(VLOOKUP($K32,Paramètres!$A$38:$C$41,2,FALSE),"")</f>
        <v>4</v>
      </c>
      <c r="Q32">
        <f>_xlfn.IFNA(VLOOKUP($K32,Paramètres!$A$38:$C$41,3,FALSE),"")</f>
        <v>5</v>
      </c>
      <c r="R32">
        <v>160</v>
      </c>
      <c r="S32" t="b">
        <v>0</v>
      </c>
      <c r="T32">
        <v>4</v>
      </c>
      <c r="Y32" s="17"/>
      <c r="Z32" s="17"/>
      <c r="AA32" s="17"/>
      <c r="AB32" s="17"/>
    </row>
    <row r="33" spans="1:28" x14ac:dyDescent="0.3">
      <c r="A33" s="10" t="s">
        <v>111</v>
      </c>
      <c r="B33" s="10" t="s">
        <v>112</v>
      </c>
      <c r="C33" s="10" t="s">
        <v>52</v>
      </c>
      <c r="D33" s="15">
        <v>5351</v>
      </c>
      <c r="E33" s="17">
        <v>148.64354900000001</v>
      </c>
      <c r="F33" s="17">
        <v>906.52981454733435</v>
      </c>
      <c r="G33" s="17">
        <v>831.75899761235189</v>
      </c>
      <c r="H33" s="17">
        <v>47.109761343507579</v>
      </c>
      <c r="I33" s="17">
        <v>22.199879859833906</v>
      </c>
      <c r="J33" s="17">
        <v>5.4611757316411174</v>
      </c>
      <c r="K33" s="12" t="s">
        <v>681</v>
      </c>
      <c r="L33" s="1">
        <f>VLOOKUP(K33,Paramètres!$A$18:$B$21,2,FALSE)</f>
        <v>0.34</v>
      </c>
      <c r="M33" s="1">
        <f>VLOOKUP($K33,Paramètres!$A$27:$D$30,2,FALSE)</f>
        <v>0.26</v>
      </c>
      <c r="N33" s="1">
        <f>VLOOKUP($K33,Paramètres!$A$27:$D$30,3,FALSE)</f>
        <v>0.33</v>
      </c>
      <c r="O33" s="1">
        <f>VLOOKUP($K33,Paramètres!$A$27:$D$30,4,FALSE)</f>
        <v>0.41</v>
      </c>
      <c r="P33">
        <f>_xlfn.IFNA(VLOOKUP($K33,Paramètres!$A$38:$C$41,2,FALSE),"")</f>
        <v>3</v>
      </c>
      <c r="Q33">
        <f>_xlfn.IFNA(VLOOKUP($K33,Paramètres!$A$38:$C$41,3,FALSE),"")</f>
        <v>5</v>
      </c>
      <c r="R33">
        <v>209</v>
      </c>
      <c r="S33" t="b">
        <v>0</v>
      </c>
      <c r="T33">
        <v>6</v>
      </c>
      <c r="Y33" s="17"/>
      <c r="Z33" s="17"/>
      <c r="AA33" s="17"/>
      <c r="AB33" s="17"/>
    </row>
    <row r="34" spans="1:28" x14ac:dyDescent="0.3">
      <c r="A34" s="10" t="s">
        <v>113</v>
      </c>
      <c r="B34" s="10" t="s">
        <v>114</v>
      </c>
      <c r="C34" s="10" t="s">
        <v>52</v>
      </c>
      <c r="D34" s="15">
        <v>20401</v>
      </c>
      <c r="E34" s="17">
        <v>20.076038</v>
      </c>
      <c r="F34" s="17">
        <v>155.79248366377035</v>
      </c>
      <c r="G34" s="17">
        <v>15.975655143048792</v>
      </c>
      <c r="H34" s="17">
        <v>44.603762629062061</v>
      </c>
      <c r="I34" s="17">
        <v>27.058282005787746</v>
      </c>
      <c r="J34" s="17">
        <v>68.154783885871737</v>
      </c>
      <c r="K34" s="12" t="s">
        <v>681</v>
      </c>
      <c r="L34" s="1">
        <f>VLOOKUP(K34,Paramètres!$A$18:$B$21,2,FALSE)</f>
        <v>0.34</v>
      </c>
      <c r="M34" s="1">
        <f>VLOOKUP($K34,Paramètres!$A$27:$D$30,2,FALSE)</f>
        <v>0.26</v>
      </c>
      <c r="N34" s="1">
        <f>VLOOKUP($K34,Paramètres!$A$27:$D$30,3,FALSE)</f>
        <v>0.33</v>
      </c>
      <c r="O34" s="1">
        <f>VLOOKUP($K34,Paramètres!$A$27:$D$30,4,FALSE)</f>
        <v>0.41</v>
      </c>
      <c r="P34">
        <f>_xlfn.IFNA(VLOOKUP($K34,Paramètres!$A$38:$C$41,2,FALSE),"")</f>
        <v>3</v>
      </c>
      <c r="Q34">
        <f>_xlfn.IFNA(VLOOKUP($K34,Paramètres!$A$38:$C$41,3,FALSE),"")</f>
        <v>5</v>
      </c>
      <c r="R34">
        <v>178</v>
      </c>
      <c r="S34" t="b">
        <v>1</v>
      </c>
      <c r="T34">
        <v>5</v>
      </c>
      <c r="Y34" s="17"/>
      <c r="Z34" s="17"/>
      <c r="AA34" s="17"/>
      <c r="AB34" s="17"/>
    </row>
    <row r="35" spans="1:28" x14ac:dyDescent="0.3">
      <c r="A35" t="s">
        <v>115</v>
      </c>
      <c r="B35" s="10" t="s">
        <v>116</v>
      </c>
      <c r="C35" s="10" t="s">
        <v>52</v>
      </c>
      <c r="D35" s="15">
        <v>40756</v>
      </c>
      <c r="E35" s="17">
        <v>52.321274000000003</v>
      </c>
      <c r="F35" s="17">
        <v>400.197366273966</v>
      </c>
      <c r="G35" s="17">
        <v>129.34003144182765</v>
      </c>
      <c r="H35" s="17">
        <v>102.63162078825715</v>
      </c>
      <c r="I35" s="17">
        <v>72.063189691696863</v>
      </c>
      <c r="J35" s="17">
        <v>96.16252435218432</v>
      </c>
      <c r="K35" s="12" t="s">
        <v>681</v>
      </c>
      <c r="L35" s="1">
        <f>VLOOKUP(K35,Paramètres!$A$18:$B$21,2,FALSE)</f>
        <v>0.34</v>
      </c>
      <c r="M35" s="1">
        <f>VLOOKUP($K35,Paramètres!$A$27:$D$30,2,FALSE)</f>
        <v>0.26</v>
      </c>
      <c r="N35" s="1">
        <f>VLOOKUP($K35,Paramètres!$A$27:$D$30,3,FALSE)</f>
        <v>0.33</v>
      </c>
      <c r="O35" s="1">
        <f>VLOOKUP($K35,Paramètres!$A$27:$D$30,4,FALSE)</f>
        <v>0.41</v>
      </c>
      <c r="P35">
        <f>_xlfn.IFNA(VLOOKUP($K35,Paramètres!$A$38:$C$41,2,FALSE),"")</f>
        <v>3</v>
      </c>
      <c r="Q35">
        <f>_xlfn.IFNA(VLOOKUP($K35,Paramètres!$A$38:$C$41,3,FALSE),"")</f>
        <v>5</v>
      </c>
      <c r="R35">
        <v>236</v>
      </c>
      <c r="S35" t="b">
        <v>1</v>
      </c>
      <c r="T35">
        <v>6</v>
      </c>
      <c r="Y35" s="17"/>
      <c r="Z35" s="17"/>
      <c r="AA35" s="17"/>
      <c r="AB35" s="17"/>
    </row>
    <row r="36" spans="1:28" x14ac:dyDescent="0.3">
      <c r="A36" s="10" t="s">
        <v>117</v>
      </c>
      <c r="B36" s="10" t="s">
        <v>118</v>
      </c>
      <c r="C36" s="10" t="s">
        <v>52</v>
      </c>
      <c r="D36" s="15">
        <v>10638</v>
      </c>
      <c r="E36" s="17">
        <v>22.749175999999999</v>
      </c>
      <c r="F36" s="17">
        <v>208.83495103029111</v>
      </c>
      <c r="G36" s="17">
        <v>26.326434946051474</v>
      </c>
      <c r="H36" s="17">
        <v>93.046584107642872</v>
      </c>
      <c r="I36" s="17">
        <v>43.933975642438227</v>
      </c>
      <c r="J36" s="17">
        <v>45.527956334158546</v>
      </c>
      <c r="K36" s="12" t="s">
        <v>682</v>
      </c>
      <c r="L36" s="1">
        <f>VLOOKUP(K36,Paramètres!$A$18:$B$21,2,FALSE)</f>
        <v>0.21</v>
      </c>
      <c r="M36" s="1">
        <f>VLOOKUP($K36,Paramètres!$A$27:$D$30,2,FALSE)</f>
        <v>0.33</v>
      </c>
      <c r="N36" s="1">
        <f>VLOOKUP($K36,Paramètres!$A$27:$D$30,3,FALSE)</f>
        <v>0.35</v>
      </c>
      <c r="O36" s="1">
        <f>VLOOKUP($K36,Paramètres!$A$27:$D$30,4,FALSE)</f>
        <v>0.32</v>
      </c>
      <c r="P36">
        <f>_xlfn.IFNA(VLOOKUP($K36,Paramètres!$A$38:$C$41,2,FALSE),"")</f>
        <v>4</v>
      </c>
      <c r="Q36">
        <f>_xlfn.IFNA(VLOOKUP($K36,Paramètres!$A$38:$C$41,3,FALSE),"")</f>
        <v>5</v>
      </c>
      <c r="R36">
        <v>144</v>
      </c>
      <c r="S36" t="b">
        <v>0</v>
      </c>
      <c r="T36">
        <v>4</v>
      </c>
      <c r="Y36" s="17"/>
      <c r="Z36" s="17"/>
      <c r="AA36" s="17"/>
      <c r="AB36" s="17"/>
    </row>
    <row r="37" spans="1:28" x14ac:dyDescent="0.3">
      <c r="A37" s="10" t="s">
        <v>119</v>
      </c>
      <c r="B37" s="10" t="s">
        <v>120</v>
      </c>
      <c r="C37" s="10" t="s">
        <v>52</v>
      </c>
      <c r="D37" s="15">
        <v>23604</v>
      </c>
      <c r="E37" s="17">
        <v>84.866127000000006</v>
      </c>
      <c r="F37" s="17">
        <v>400.07059586171579</v>
      </c>
      <c r="G37" s="17">
        <v>235.01261555810675</v>
      </c>
      <c r="H37" s="17">
        <v>76.549602893771379</v>
      </c>
      <c r="I37" s="17">
        <v>48.603453608482425</v>
      </c>
      <c r="J37" s="17">
        <v>39.904923801355224</v>
      </c>
      <c r="K37" s="12" t="s">
        <v>681</v>
      </c>
      <c r="L37" s="1">
        <f>VLOOKUP(K37,Paramètres!$A$18:$B$21,2,FALSE)</f>
        <v>0.34</v>
      </c>
      <c r="M37" s="1">
        <f>VLOOKUP($K37,Paramètres!$A$27:$D$30,2,FALSE)</f>
        <v>0.26</v>
      </c>
      <c r="N37" s="1">
        <f>VLOOKUP($K37,Paramètres!$A$27:$D$30,3,FALSE)</f>
        <v>0.33</v>
      </c>
      <c r="O37" s="1">
        <f>VLOOKUP($K37,Paramètres!$A$27:$D$30,4,FALSE)</f>
        <v>0.41</v>
      </c>
      <c r="P37">
        <f>_xlfn.IFNA(VLOOKUP($K37,Paramètres!$A$38:$C$41,2,FALSE),"")</f>
        <v>3</v>
      </c>
      <c r="Q37">
        <f>_xlfn.IFNA(VLOOKUP($K37,Paramètres!$A$38:$C$41,3,FALSE),"")</f>
        <v>5</v>
      </c>
      <c r="R37">
        <v>210</v>
      </c>
      <c r="S37" t="b">
        <v>1</v>
      </c>
      <c r="T37">
        <v>6</v>
      </c>
      <c r="Y37" s="17"/>
      <c r="Z37" s="17"/>
      <c r="AA37" s="17"/>
      <c r="AB37" s="17"/>
    </row>
    <row r="38" spans="1:28" x14ac:dyDescent="0.3">
      <c r="A38" s="10" t="s">
        <v>121</v>
      </c>
      <c r="B38" s="10" t="s">
        <v>122</v>
      </c>
      <c r="C38" s="10" t="s">
        <v>52</v>
      </c>
      <c r="D38" s="15">
        <v>6476</v>
      </c>
      <c r="E38" s="17">
        <v>44.049785999999997</v>
      </c>
      <c r="F38" s="17">
        <v>178.57912341504772</v>
      </c>
      <c r="G38" s="17">
        <v>84.668579276760724</v>
      </c>
      <c r="H38" s="17">
        <v>36.993616586448638</v>
      </c>
      <c r="I38" s="17">
        <v>49.724212294969604</v>
      </c>
      <c r="J38" s="17">
        <v>7.1927152568687598</v>
      </c>
      <c r="K38" s="12" t="s">
        <v>682</v>
      </c>
      <c r="L38" s="1">
        <f>VLOOKUP(K38,Paramètres!$A$18:$B$21,2,FALSE)</f>
        <v>0.21</v>
      </c>
      <c r="M38" s="1">
        <f>VLOOKUP($K38,Paramètres!$A$27:$D$30,2,FALSE)</f>
        <v>0.33</v>
      </c>
      <c r="N38" s="1">
        <f>VLOOKUP($K38,Paramètres!$A$27:$D$30,3,FALSE)</f>
        <v>0.35</v>
      </c>
      <c r="O38" s="1">
        <f>VLOOKUP($K38,Paramètres!$A$27:$D$30,4,FALSE)</f>
        <v>0.32</v>
      </c>
      <c r="P38">
        <f>_xlfn.IFNA(VLOOKUP($K38,Paramètres!$A$38:$C$41,2,FALSE),"")</f>
        <v>4</v>
      </c>
      <c r="Q38">
        <f>_xlfn.IFNA(VLOOKUP($K38,Paramètres!$A$38:$C$41,3,FALSE),"")</f>
        <v>5</v>
      </c>
      <c r="R38">
        <v>94</v>
      </c>
      <c r="S38" t="b">
        <v>1</v>
      </c>
      <c r="T38">
        <v>3</v>
      </c>
      <c r="Y38" s="17"/>
      <c r="Z38" s="17"/>
      <c r="AA38" s="17"/>
      <c r="AB38" s="17"/>
    </row>
    <row r="39" spans="1:28" x14ac:dyDescent="0.3">
      <c r="A39" s="10" t="s">
        <v>123</v>
      </c>
      <c r="B39" s="10" t="s">
        <v>124</v>
      </c>
      <c r="C39" s="10" t="s">
        <v>52</v>
      </c>
      <c r="D39" s="15">
        <v>3878</v>
      </c>
      <c r="E39" s="17">
        <v>28.586632000000002</v>
      </c>
      <c r="F39" s="17">
        <v>146.87099405305702</v>
      </c>
      <c r="G39" s="17">
        <v>99.28764399593797</v>
      </c>
      <c r="H39" s="17">
        <v>21.566495188587101</v>
      </c>
      <c r="I39" s="17">
        <v>21.044986479699016</v>
      </c>
      <c r="J39" s="17">
        <v>4.9718683888329469</v>
      </c>
      <c r="K39" s="12" t="s">
        <v>682</v>
      </c>
      <c r="L39" s="1">
        <f>VLOOKUP(K39,Paramètres!$A$18:$B$21,2,FALSE)</f>
        <v>0.21</v>
      </c>
      <c r="M39" s="1">
        <f>VLOOKUP($K39,Paramètres!$A$27:$D$30,2,FALSE)</f>
        <v>0.33</v>
      </c>
      <c r="N39" s="1">
        <f>VLOOKUP($K39,Paramètres!$A$27:$D$30,3,FALSE)</f>
        <v>0.35</v>
      </c>
      <c r="O39" s="1">
        <f>VLOOKUP($K39,Paramètres!$A$27:$D$30,4,FALSE)</f>
        <v>0.32</v>
      </c>
      <c r="P39">
        <f>_xlfn.IFNA(VLOOKUP($K39,Paramètres!$A$38:$C$41,2,FALSE),"")</f>
        <v>4</v>
      </c>
      <c r="Q39">
        <f>_xlfn.IFNA(VLOOKUP($K39,Paramètres!$A$38:$C$41,3,FALSE),"")</f>
        <v>5</v>
      </c>
      <c r="R39">
        <v>94</v>
      </c>
      <c r="S39" t="b">
        <v>0</v>
      </c>
      <c r="T39">
        <v>3</v>
      </c>
      <c r="Y39" s="17"/>
      <c r="Z39" s="17"/>
      <c r="AA39" s="17"/>
      <c r="AB39" s="17"/>
    </row>
    <row r="40" spans="1:28" x14ac:dyDescent="0.3">
      <c r="A40" s="10" t="s">
        <v>125</v>
      </c>
      <c r="B40" s="10" t="s">
        <v>126</v>
      </c>
      <c r="C40" s="10" t="s">
        <v>52</v>
      </c>
      <c r="D40" s="15">
        <v>8129</v>
      </c>
      <c r="E40" s="17">
        <v>46.545223999999997</v>
      </c>
      <c r="F40" s="17">
        <v>191.29158066028711</v>
      </c>
      <c r="G40" s="17">
        <v>103.53126350833816</v>
      </c>
      <c r="H40" s="17">
        <v>30.754815669974079</v>
      </c>
      <c r="I40" s="17">
        <v>50.082129671631002</v>
      </c>
      <c r="J40" s="17">
        <v>6.9233718103438555</v>
      </c>
      <c r="K40" s="12" t="s">
        <v>682</v>
      </c>
      <c r="L40" s="1">
        <f>VLOOKUP(K40,Paramètres!$A$18:$B$21,2,FALSE)</f>
        <v>0.21</v>
      </c>
      <c r="M40" s="1">
        <f>VLOOKUP($K40,Paramètres!$A$27:$D$30,2,FALSE)</f>
        <v>0.33</v>
      </c>
      <c r="N40" s="1">
        <f>VLOOKUP($K40,Paramètres!$A$27:$D$30,3,FALSE)</f>
        <v>0.35</v>
      </c>
      <c r="O40" s="1">
        <f>VLOOKUP($K40,Paramètres!$A$27:$D$30,4,FALSE)</f>
        <v>0.32</v>
      </c>
      <c r="P40">
        <f>_xlfn.IFNA(VLOOKUP($K40,Paramètres!$A$38:$C$41,2,FALSE),"")</f>
        <v>4</v>
      </c>
      <c r="Q40">
        <f>_xlfn.IFNA(VLOOKUP($K40,Paramètres!$A$38:$C$41,3,FALSE),"")</f>
        <v>5</v>
      </c>
      <c r="R40">
        <v>106</v>
      </c>
      <c r="S40" t="b">
        <v>0</v>
      </c>
      <c r="T40">
        <v>3</v>
      </c>
      <c r="Y40" s="17"/>
      <c r="Z40" s="17"/>
      <c r="AA40" s="17"/>
      <c r="AB40" s="17"/>
    </row>
    <row r="41" spans="1:28" x14ac:dyDescent="0.3">
      <c r="A41" s="10" t="s">
        <v>723</v>
      </c>
      <c r="B41" s="10" t="s">
        <v>127</v>
      </c>
      <c r="C41" s="10" t="s">
        <v>52</v>
      </c>
      <c r="D41" s="15">
        <v>5533</v>
      </c>
      <c r="E41" s="17">
        <v>150.67323500000001</v>
      </c>
      <c r="F41" s="17">
        <v>737.20684606975556</v>
      </c>
      <c r="G41" s="17">
        <v>639.60633553907644</v>
      </c>
      <c r="H41" s="17">
        <v>44.469405659613315</v>
      </c>
      <c r="I41" s="17">
        <v>53.131104871065936</v>
      </c>
      <c r="J41" s="17">
        <v>0</v>
      </c>
      <c r="K41" s="12" t="s">
        <v>682</v>
      </c>
      <c r="L41" s="1">
        <f>VLOOKUP(K41,Paramètres!$A$18:$B$21,2,FALSE)</f>
        <v>0.21</v>
      </c>
      <c r="M41" s="1">
        <f>VLOOKUP($K41,Paramètres!$A$27:$D$30,2,FALSE)</f>
        <v>0.33</v>
      </c>
      <c r="N41" s="1">
        <f>VLOOKUP($K41,Paramètres!$A$27:$D$30,3,FALSE)</f>
        <v>0.35</v>
      </c>
      <c r="O41" s="1">
        <f>VLOOKUP($K41,Paramètres!$A$27:$D$30,4,FALSE)</f>
        <v>0.32</v>
      </c>
      <c r="P41">
        <f>_xlfn.IFNA(VLOOKUP($K41,Paramètres!$A$38:$C$41,2,FALSE),"")</f>
        <v>4</v>
      </c>
      <c r="Q41">
        <f>_xlfn.IFNA(VLOOKUP($K41,Paramètres!$A$38:$C$41,3,FALSE),"")</f>
        <v>5</v>
      </c>
      <c r="R41">
        <v>131</v>
      </c>
      <c r="S41" t="b">
        <v>0</v>
      </c>
      <c r="T41">
        <v>4</v>
      </c>
      <c r="Y41" s="17"/>
      <c r="Z41" s="17"/>
      <c r="AA41" s="17"/>
      <c r="AB41" s="17"/>
    </row>
    <row r="42" spans="1:28" x14ac:dyDescent="0.3">
      <c r="A42" s="10" t="s">
        <v>128</v>
      </c>
      <c r="B42" s="10" t="s">
        <v>129</v>
      </c>
      <c r="C42" s="10" t="s">
        <v>52</v>
      </c>
      <c r="D42" s="15">
        <v>3334</v>
      </c>
      <c r="E42" s="17">
        <v>32.616053999999998</v>
      </c>
      <c r="F42" s="17">
        <v>136.2690430281117</v>
      </c>
      <c r="G42" s="17">
        <v>101.0626835629772</v>
      </c>
      <c r="H42" s="17">
        <v>4.8123109162448845</v>
      </c>
      <c r="I42" s="17">
        <v>30.3940485488896</v>
      </c>
      <c r="J42" s="17">
        <v>0</v>
      </c>
      <c r="K42" s="12" t="s">
        <v>682</v>
      </c>
      <c r="L42" s="1">
        <f>VLOOKUP(K42,Paramètres!$A$18:$B$21,2,FALSE)</f>
        <v>0.21</v>
      </c>
      <c r="M42" s="1">
        <f>VLOOKUP($K42,Paramètres!$A$27:$D$30,2,FALSE)</f>
        <v>0.33</v>
      </c>
      <c r="N42" s="1">
        <f>VLOOKUP($K42,Paramètres!$A$27:$D$30,3,FALSE)</f>
        <v>0.35</v>
      </c>
      <c r="O42" s="1">
        <f>VLOOKUP($K42,Paramètres!$A$27:$D$30,4,FALSE)</f>
        <v>0.32</v>
      </c>
      <c r="P42">
        <f>_xlfn.IFNA(VLOOKUP($K42,Paramètres!$A$38:$C$41,2,FALSE),"")</f>
        <v>4</v>
      </c>
      <c r="Q42">
        <f>_xlfn.IFNA(VLOOKUP($K42,Paramètres!$A$38:$C$41,3,FALSE),"")</f>
        <v>5</v>
      </c>
      <c r="R42">
        <v>101</v>
      </c>
      <c r="S42" t="b">
        <v>0</v>
      </c>
      <c r="T42">
        <v>3</v>
      </c>
      <c r="Y42" s="17"/>
      <c r="Z42" s="17"/>
      <c r="AA42" s="17"/>
      <c r="AB42" s="17"/>
    </row>
    <row r="43" spans="1:28" x14ac:dyDescent="0.3">
      <c r="A43" s="10" t="s">
        <v>130</v>
      </c>
      <c r="B43" s="10" t="s">
        <v>131</v>
      </c>
      <c r="C43" s="10" t="s">
        <v>52</v>
      </c>
      <c r="D43" s="15">
        <v>3962</v>
      </c>
      <c r="E43" s="17">
        <v>109.842772</v>
      </c>
      <c r="F43" s="17">
        <v>503.21270538578347</v>
      </c>
      <c r="G43" s="17">
        <v>442.54655329852136</v>
      </c>
      <c r="H43" s="17">
        <v>9.0391087823928764</v>
      </c>
      <c r="I43" s="17">
        <v>51.627043304869247</v>
      </c>
      <c r="J43" s="17">
        <v>0</v>
      </c>
      <c r="K43" s="12" t="s">
        <v>682</v>
      </c>
      <c r="L43" s="1">
        <f>VLOOKUP(K43,Paramètres!$A$18:$B$21,2,FALSE)</f>
        <v>0.21</v>
      </c>
      <c r="M43" s="1">
        <f>VLOOKUP($K43,Paramètres!$A$27:$D$30,2,FALSE)</f>
        <v>0.33</v>
      </c>
      <c r="N43" s="1">
        <f>VLOOKUP($K43,Paramètres!$A$27:$D$30,3,FALSE)</f>
        <v>0.35</v>
      </c>
      <c r="O43" s="1">
        <f>VLOOKUP($K43,Paramètres!$A$27:$D$30,4,FALSE)</f>
        <v>0.32</v>
      </c>
      <c r="P43">
        <f>_xlfn.IFNA(VLOOKUP($K43,Paramètres!$A$38:$C$41,2,FALSE),"")</f>
        <v>4</v>
      </c>
      <c r="Q43">
        <f>_xlfn.IFNA(VLOOKUP($K43,Paramètres!$A$38:$C$41,3,FALSE),"")</f>
        <v>5</v>
      </c>
      <c r="R43">
        <v>122</v>
      </c>
      <c r="S43" t="b">
        <v>0</v>
      </c>
      <c r="T43">
        <v>3</v>
      </c>
      <c r="Y43" s="17"/>
      <c r="Z43" s="17"/>
      <c r="AA43" s="17"/>
      <c r="AB43" s="17"/>
    </row>
    <row r="44" spans="1:28" x14ac:dyDescent="0.3">
      <c r="A44" s="10" t="s">
        <v>724</v>
      </c>
      <c r="B44" s="10" t="s">
        <v>132</v>
      </c>
      <c r="C44" s="10" t="s">
        <v>52</v>
      </c>
      <c r="D44" s="15">
        <v>5586</v>
      </c>
      <c r="E44" s="17">
        <v>97.039631999999997</v>
      </c>
      <c r="F44" s="17">
        <v>482.54254217689038</v>
      </c>
      <c r="G44" s="17">
        <v>389.22534999616897</v>
      </c>
      <c r="H44" s="17">
        <v>43.445089811659415</v>
      </c>
      <c r="I44" s="17">
        <v>49.872102369061963</v>
      </c>
      <c r="J44" s="17">
        <v>0</v>
      </c>
      <c r="K44" s="12" t="s">
        <v>682</v>
      </c>
      <c r="L44" s="1">
        <f>VLOOKUP(K44,Paramètres!$A$18:$B$21,2,FALSE)</f>
        <v>0.21</v>
      </c>
      <c r="M44" s="1">
        <f>VLOOKUP($K44,Paramètres!$A$27:$D$30,2,FALSE)</f>
        <v>0.33</v>
      </c>
      <c r="N44" s="1">
        <f>VLOOKUP($K44,Paramètres!$A$27:$D$30,3,FALSE)</f>
        <v>0.35</v>
      </c>
      <c r="O44" s="1">
        <f>VLOOKUP($K44,Paramètres!$A$27:$D$30,4,FALSE)</f>
        <v>0.32</v>
      </c>
      <c r="P44">
        <f>_xlfn.IFNA(VLOOKUP($K44,Paramètres!$A$38:$C$41,2,FALSE),"")</f>
        <v>4</v>
      </c>
      <c r="Q44">
        <f>_xlfn.IFNA(VLOOKUP($K44,Paramètres!$A$38:$C$41,3,FALSE),"")</f>
        <v>5</v>
      </c>
      <c r="R44">
        <v>152</v>
      </c>
      <c r="S44" t="b">
        <v>0</v>
      </c>
      <c r="T44">
        <v>4</v>
      </c>
      <c r="Y44" s="17"/>
      <c r="Z44" s="17"/>
      <c r="AA44" s="17"/>
      <c r="AB44" s="17"/>
    </row>
    <row r="45" spans="1:28" x14ac:dyDescent="0.3">
      <c r="A45" s="10" t="s">
        <v>133</v>
      </c>
      <c r="B45" s="10" t="s">
        <v>134</v>
      </c>
      <c r="C45" s="10" t="s">
        <v>52</v>
      </c>
      <c r="D45" s="15">
        <v>5775</v>
      </c>
      <c r="E45" s="17">
        <v>67.485930999999994</v>
      </c>
      <c r="F45" s="17">
        <v>228.29663242561963</v>
      </c>
      <c r="G45" s="17">
        <v>163.00585751150535</v>
      </c>
      <c r="H45" s="17">
        <v>37.701640361853208</v>
      </c>
      <c r="I45" s="17">
        <v>22.237440205583273</v>
      </c>
      <c r="J45" s="17">
        <v>5.35169434667778</v>
      </c>
      <c r="K45" s="12" t="s">
        <v>682</v>
      </c>
      <c r="L45" s="1">
        <f>VLOOKUP(K45,Paramètres!$A$18:$B$21,2,FALSE)</f>
        <v>0.21</v>
      </c>
      <c r="M45" s="1">
        <f>VLOOKUP($K45,Paramètres!$A$27:$D$30,2,FALSE)</f>
        <v>0.33</v>
      </c>
      <c r="N45" s="1">
        <f>VLOOKUP($K45,Paramètres!$A$27:$D$30,3,FALSE)</f>
        <v>0.35</v>
      </c>
      <c r="O45" s="1">
        <f>VLOOKUP($K45,Paramètres!$A$27:$D$30,4,FALSE)</f>
        <v>0.32</v>
      </c>
      <c r="P45">
        <f>_xlfn.IFNA(VLOOKUP($K45,Paramètres!$A$38:$C$41,2,FALSE),"")</f>
        <v>4</v>
      </c>
      <c r="Q45">
        <f>_xlfn.IFNA(VLOOKUP($K45,Paramètres!$A$38:$C$41,3,FALSE),"")</f>
        <v>5</v>
      </c>
      <c r="R45">
        <v>102</v>
      </c>
      <c r="S45" t="b">
        <v>0</v>
      </c>
      <c r="T45">
        <v>3</v>
      </c>
      <c r="Y45" s="17"/>
      <c r="Z45" s="17"/>
      <c r="AA45" s="17"/>
      <c r="AB45" s="17"/>
    </row>
    <row r="46" spans="1:28" x14ac:dyDescent="0.3">
      <c r="A46" s="10" t="s">
        <v>135</v>
      </c>
      <c r="B46" s="10" t="s">
        <v>136</v>
      </c>
      <c r="C46" s="10" t="s">
        <v>52</v>
      </c>
      <c r="D46" s="15">
        <v>4989</v>
      </c>
      <c r="E46" s="17">
        <v>83.441711999999995</v>
      </c>
      <c r="F46" s="17">
        <v>267.59033697137602</v>
      </c>
      <c r="G46" s="17">
        <v>215.11279649548558</v>
      </c>
      <c r="H46" s="17">
        <v>9.6859183974667769</v>
      </c>
      <c r="I46" s="17">
        <v>9.394544772454239</v>
      </c>
      <c r="J46" s="17">
        <v>33.397077305969376</v>
      </c>
      <c r="K46" s="12" t="s">
        <v>682</v>
      </c>
      <c r="L46" s="1">
        <f>VLOOKUP(K46,Paramètres!$A$18:$B$21,2,FALSE)</f>
        <v>0.21</v>
      </c>
      <c r="M46" s="1">
        <f>VLOOKUP($K46,Paramètres!$A$27:$D$30,2,FALSE)</f>
        <v>0.33</v>
      </c>
      <c r="N46" s="1">
        <f>VLOOKUP($K46,Paramètres!$A$27:$D$30,3,FALSE)</f>
        <v>0.35</v>
      </c>
      <c r="O46" s="1">
        <f>VLOOKUP($K46,Paramètres!$A$27:$D$30,4,FALSE)</f>
        <v>0.32</v>
      </c>
      <c r="P46">
        <f>_xlfn.IFNA(VLOOKUP($K46,Paramètres!$A$38:$C$41,2,FALSE),"")</f>
        <v>4</v>
      </c>
      <c r="Q46">
        <f>_xlfn.IFNA(VLOOKUP($K46,Paramètres!$A$38:$C$41,3,FALSE),"")</f>
        <v>5</v>
      </c>
      <c r="R46">
        <v>83</v>
      </c>
      <c r="S46" t="b">
        <v>1</v>
      </c>
      <c r="T46">
        <v>2</v>
      </c>
      <c r="Y46" s="17"/>
      <c r="Z46" s="17"/>
      <c r="AA46" s="17"/>
      <c r="AB46" s="17"/>
    </row>
    <row r="47" spans="1:28" x14ac:dyDescent="0.3">
      <c r="A47" s="10" t="s">
        <v>137</v>
      </c>
      <c r="B47" s="10" t="s">
        <v>138</v>
      </c>
      <c r="C47" s="10" t="s">
        <v>52</v>
      </c>
      <c r="D47" s="15">
        <v>15030</v>
      </c>
      <c r="E47" s="17">
        <v>18.206209999999999</v>
      </c>
      <c r="F47" s="17">
        <v>135.63458374934737</v>
      </c>
      <c r="G47" s="17">
        <v>25.095532519876908</v>
      </c>
      <c r="H47" s="17">
        <v>33.764841686058489</v>
      </c>
      <c r="I47" s="17">
        <v>18.7842786813628</v>
      </c>
      <c r="J47" s="17">
        <v>57.989930862049185</v>
      </c>
      <c r="K47" s="12" t="s">
        <v>682</v>
      </c>
      <c r="L47" s="1">
        <f>VLOOKUP(K47,Paramètres!$A$18:$B$21,2,FALSE)</f>
        <v>0.21</v>
      </c>
      <c r="M47" s="1">
        <f>VLOOKUP($K47,Paramètres!$A$27:$D$30,2,FALSE)</f>
        <v>0.33</v>
      </c>
      <c r="N47" s="1">
        <f>VLOOKUP($K47,Paramètres!$A$27:$D$30,3,FALSE)</f>
        <v>0.35</v>
      </c>
      <c r="O47" s="1">
        <f>VLOOKUP($K47,Paramètres!$A$27:$D$30,4,FALSE)</f>
        <v>0.32</v>
      </c>
      <c r="P47">
        <f>_xlfn.IFNA(VLOOKUP($K47,Paramètres!$A$38:$C$41,2,FALSE),"")</f>
        <v>4</v>
      </c>
      <c r="Q47">
        <f>_xlfn.IFNA(VLOOKUP($K47,Paramètres!$A$38:$C$41,3,FALSE),"")</f>
        <v>5</v>
      </c>
      <c r="R47">
        <v>142</v>
      </c>
      <c r="S47" t="b">
        <v>0</v>
      </c>
      <c r="T47">
        <v>4</v>
      </c>
      <c r="Y47" s="17"/>
      <c r="Z47" s="17"/>
      <c r="AA47" s="17"/>
      <c r="AB47" s="17"/>
    </row>
    <row r="48" spans="1:28" x14ac:dyDescent="0.3">
      <c r="A48" s="10" t="s">
        <v>139</v>
      </c>
      <c r="B48" s="10" t="s">
        <v>140</v>
      </c>
      <c r="C48" s="10" t="s">
        <v>52</v>
      </c>
      <c r="D48" s="15">
        <v>205763</v>
      </c>
      <c r="E48" s="17">
        <v>102.947782</v>
      </c>
      <c r="F48" s="17">
        <v>1200.9730210237965</v>
      </c>
      <c r="G48" s="17">
        <v>446.98653592837098</v>
      </c>
      <c r="H48" s="17">
        <v>642.91840461992092</v>
      </c>
      <c r="I48" s="17">
        <v>102.80316222914475</v>
      </c>
      <c r="J48" s="17">
        <v>8.2649182463599136</v>
      </c>
      <c r="K48" s="12" t="s">
        <v>680</v>
      </c>
      <c r="L48" s="1">
        <f>VLOOKUP(K48,Paramètres!$A$18:$B$21,2,FALSE)</f>
        <v>0.34</v>
      </c>
      <c r="M48" s="1">
        <f>VLOOKUP($K48,Paramètres!$A$27:$D$30,2,FALSE)</f>
        <v>0.14000000000000001</v>
      </c>
      <c r="N48" s="1">
        <f>VLOOKUP($K48,Paramètres!$A$27:$D$30,3,FALSE)</f>
        <v>0.53</v>
      </c>
      <c r="O48" s="1">
        <f>VLOOKUP($K48,Paramètres!$A$27:$D$30,4,FALSE)</f>
        <v>0.33</v>
      </c>
      <c r="P48">
        <f>_xlfn.IFNA(VLOOKUP($K48,Paramètres!$A$38:$C$41,2,FALSE),"")</f>
        <v>2</v>
      </c>
      <c r="Q48">
        <f>_xlfn.IFNA(VLOOKUP($K48,Paramètres!$A$38:$C$41,3,FALSE),"")</f>
        <v>15</v>
      </c>
      <c r="R48">
        <v>2342</v>
      </c>
      <c r="S48" t="b">
        <v>0</v>
      </c>
      <c r="T48">
        <v>63</v>
      </c>
      <c r="Y48" s="17"/>
      <c r="Z48" s="17"/>
      <c r="AA48" s="17"/>
      <c r="AB48" s="17"/>
    </row>
    <row r="49" spans="1:28" x14ac:dyDescent="0.3">
      <c r="A49" s="10" t="s">
        <v>141</v>
      </c>
      <c r="B49" s="10" t="s">
        <v>142</v>
      </c>
      <c r="C49" s="10" t="s">
        <v>52</v>
      </c>
      <c r="D49" s="15">
        <v>7813</v>
      </c>
      <c r="E49" s="17">
        <v>31.569956000000001</v>
      </c>
      <c r="F49" s="17">
        <v>133.20533447431572</v>
      </c>
      <c r="G49" s="17">
        <v>68.814237068612499</v>
      </c>
      <c r="H49" s="17">
        <v>3.1160144306698259</v>
      </c>
      <c r="I49" s="17">
        <v>47.867235919903173</v>
      </c>
      <c r="J49" s="17">
        <v>13.407847055130212</v>
      </c>
      <c r="K49" s="12" t="s">
        <v>682</v>
      </c>
      <c r="L49" s="1">
        <f>VLOOKUP(K49,Paramètres!$A$18:$B$21,2,FALSE)</f>
        <v>0.21</v>
      </c>
      <c r="M49" s="1">
        <f>VLOOKUP($K49,Paramètres!$A$27:$D$30,2,FALSE)</f>
        <v>0.33</v>
      </c>
      <c r="N49" s="1">
        <f>VLOOKUP($K49,Paramètres!$A$27:$D$30,3,FALSE)</f>
        <v>0.35</v>
      </c>
      <c r="O49" s="1">
        <f>VLOOKUP($K49,Paramètres!$A$27:$D$30,4,FALSE)</f>
        <v>0.32</v>
      </c>
      <c r="P49">
        <f>_xlfn.IFNA(VLOOKUP($K49,Paramètres!$A$38:$C$41,2,FALSE),"")</f>
        <v>4</v>
      </c>
      <c r="Q49">
        <f>_xlfn.IFNA(VLOOKUP($K49,Paramètres!$A$38:$C$41,3,FALSE),"")</f>
        <v>5</v>
      </c>
      <c r="R49">
        <v>87</v>
      </c>
      <c r="S49" t="b">
        <v>1</v>
      </c>
      <c r="T49">
        <v>2</v>
      </c>
      <c r="Y49" s="17"/>
      <c r="Z49" s="17"/>
      <c r="AA49" s="17"/>
      <c r="AB49" s="17"/>
    </row>
    <row r="50" spans="1:28" x14ac:dyDescent="0.3">
      <c r="A50" s="10" t="s">
        <v>143</v>
      </c>
      <c r="B50" s="10" t="s">
        <v>144</v>
      </c>
      <c r="C50" s="10" t="s">
        <v>52</v>
      </c>
      <c r="D50" s="15">
        <v>35979</v>
      </c>
      <c r="E50" s="17">
        <v>27.345889</v>
      </c>
      <c r="F50" s="17">
        <v>217.71995715254039</v>
      </c>
      <c r="G50" s="17">
        <v>27.091928048344357</v>
      </c>
      <c r="H50" s="17">
        <v>42.947384671095385</v>
      </c>
      <c r="I50" s="17">
        <v>47.484772813147828</v>
      </c>
      <c r="J50" s="17">
        <v>100.19587161995281</v>
      </c>
      <c r="K50" s="12" t="s">
        <v>681</v>
      </c>
      <c r="L50" s="1">
        <f>VLOOKUP(K50,Paramètres!$A$18:$B$21,2,FALSE)</f>
        <v>0.34</v>
      </c>
      <c r="M50" s="1">
        <f>VLOOKUP($K50,Paramètres!$A$27:$D$30,2,FALSE)</f>
        <v>0.26</v>
      </c>
      <c r="N50" s="1">
        <f>VLOOKUP($K50,Paramètres!$A$27:$D$30,3,FALSE)</f>
        <v>0.33</v>
      </c>
      <c r="O50" s="1">
        <f>VLOOKUP($K50,Paramètres!$A$27:$D$30,4,FALSE)</f>
        <v>0.41</v>
      </c>
      <c r="P50">
        <f>_xlfn.IFNA(VLOOKUP($K50,Paramètres!$A$38:$C$41,2,FALSE),"")</f>
        <v>3</v>
      </c>
      <c r="Q50">
        <f>_xlfn.IFNA(VLOOKUP($K50,Paramètres!$A$38:$C$41,3,FALSE),"")</f>
        <v>5</v>
      </c>
      <c r="R50">
        <v>305</v>
      </c>
      <c r="S50" t="b">
        <v>0</v>
      </c>
      <c r="T50">
        <v>8</v>
      </c>
      <c r="Y50" s="17"/>
      <c r="Z50" s="17"/>
      <c r="AA50" s="17"/>
      <c r="AB50" s="17"/>
    </row>
    <row r="51" spans="1:28" x14ac:dyDescent="0.3">
      <c r="A51" s="10" t="s">
        <v>145</v>
      </c>
      <c r="B51" s="10" t="s">
        <v>146</v>
      </c>
      <c r="C51" s="10" t="s">
        <v>52</v>
      </c>
      <c r="D51" s="15">
        <v>20523</v>
      </c>
      <c r="E51" s="17">
        <v>25.457363999999998</v>
      </c>
      <c r="F51" s="17">
        <v>246.3521584224315</v>
      </c>
      <c r="G51" s="17">
        <v>14.5858777816232</v>
      </c>
      <c r="H51" s="17">
        <v>78.634381807348291</v>
      </c>
      <c r="I51" s="17">
        <v>45.731849131162178</v>
      </c>
      <c r="J51" s="17">
        <v>107.40004970229785</v>
      </c>
      <c r="K51" s="12" t="s">
        <v>682</v>
      </c>
      <c r="L51" s="1">
        <f>VLOOKUP(K51,Paramètres!$A$18:$B$21,2,FALSE)</f>
        <v>0.21</v>
      </c>
      <c r="M51" s="1">
        <f>VLOOKUP($K51,Paramètres!$A$27:$D$30,2,FALSE)</f>
        <v>0.33</v>
      </c>
      <c r="N51" s="1">
        <f>VLOOKUP($K51,Paramètres!$A$27:$D$30,3,FALSE)</f>
        <v>0.35</v>
      </c>
      <c r="O51" s="1">
        <f>VLOOKUP($K51,Paramètres!$A$27:$D$30,4,FALSE)</f>
        <v>0.32</v>
      </c>
      <c r="P51">
        <f>_xlfn.IFNA(VLOOKUP($K51,Paramètres!$A$38:$C$41,2,FALSE),"")</f>
        <v>4</v>
      </c>
      <c r="Q51">
        <f>_xlfn.IFNA(VLOOKUP($K51,Paramètres!$A$38:$C$41,3,FALSE),"")</f>
        <v>5</v>
      </c>
      <c r="R51">
        <v>214</v>
      </c>
      <c r="S51" t="b">
        <v>0</v>
      </c>
      <c r="T51">
        <v>6</v>
      </c>
      <c r="Y51" s="17"/>
      <c r="Z51" s="17"/>
      <c r="AA51" s="17"/>
      <c r="AB51" s="17"/>
    </row>
    <row r="52" spans="1:28" x14ac:dyDescent="0.3">
      <c r="A52" s="10" t="s">
        <v>147</v>
      </c>
      <c r="B52" s="10" t="s">
        <v>148</v>
      </c>
      <c r="C52" s="10" t="s">
        <v>52</v>
      </c>
      <c r="D52" s="15">
        <v>11894</v>
      </c>
      <c r="E52" s="17">
        <v>48.325530000000001</v>
      </c>
      <c r="F52" s="17">
        <v>290.54179214897971</v>
      </c>
      <c r="G52" s="17">
        <v>127.9078496312905</v>
      </c>
      <c r="H52" s="17">
        <v>45.85634405348118</v>
      </c>
      <c r="I52" s="17">
        <v>96.338986749950294</v>
      </c>
      <c r="J52" s="17">
        <v>20.438611714257743</v>
      </c>
      <c r="K52" s="12" t="s">
        <v>682</v>
      </c>
      <c r="L52" s="1">
        <f>VLOOKUP(K52,Paramètres!$A$18:$B$21,2,FALSE)</f>
        <v>0.21</v>
      </c>
      <c r="M52" s="1">
        <f>VLOOKUP($K52,Paramètres!$A$27:$D$30,2,FALSE)</f>
        <v>0.33</v>
      </c>
      <c r="N52" s="1">
        <f>VLOOKUP($K52,Paramètres!$A$27:$D$30,3,FALSE)</f>
        <v>0.35</v>
      </c>
      <c r="O52" s="1">
        <f>VLOOKUP($K52,Paramètres!$A$27:$D$30,4,FALSE)</f>
        <v>0.32</v>
      </c>
      <c r="P52">
        <f>_xlfn.IFNA(VLOOKUP($K52,Paramètres!$A$38:$C$41,2,FALSE),"")</f>
        <v>4</v>
      </c>
      <c r="Q52">
        <f>_xlfn.IFNA(VLOOKUP($K52,Paramètres!$A$38:$C$41,3,FALSE),"")</f>
        <v>5</v>
      </c>
      <c r="R52">
        <v>146</v>
      </c>
      <c r="S52" t="b">
        <v>0</v>
      </c>
      <c r="T52">
        <v>4</v>
      </c>
      <c r="Y52" s="17"/>
      <c r="Z52" s="17"/>
      <c r="AA52" s="17"/>
      <c r="AB52" s="17"/>
    </row>
    <row r="53" spans="1:28" x14ac:dyDescent="0.3">
      <c r="A53" s="10" t="s">
        <v>149</v>
      </c>
      <c r="B53" s="10" t="s">
        <v>150</v>
      </c>
      <c r="C53" s="10" t="s">
        <v>52</v>
      </c>
      <c r="D53" s="15">
        <v>7145</v>
      </c>
      <c r="E53" s="17">
        <v>47.370412000000002</v>
      </c>
      <c r="F53" s="17">
        <v>184.62883697206257</v>
      </c>
      <c r="G53" s="17">
        <v>114.43302689863668</v>
      </c>
      <c r="H53" s="17">
        <v>26.053707627070057</v>
      </c>
      <c r="I53" s="17">
        <v>36.452059984024842</v>
      </c>
      <c r="J53" s="17">
        <v>7.6900424623309993</v>
      </c>
      <c r="K53" s="12" t="s">
        <v>682</v>
      </c>
      <c r="L53" s="1">
        <f>VLOOKUP(K53,Paramètres!$A$18:$B$21,2,FALSE)</f>
        <v>0.21</v>
      </c>
      <c r="M53" s="1">
        <f>VLOOKUP($K53,Paramètres!$A$27:$D$30,2,FALSE)</f>
        <v>0.33</v>
      </c>
      <c r="N53" s="1">
        <f>VLOOKUP($K53,Paramètres!$A$27:$D$30,3,FALSE)</f>
        <v>0.35</v>
      </c>
      <c r="O53" s="1">
        <f>VLOOKUP($K53,Paramètres!$A$27:$D$30,4,FALSE)</f>
        <v>0.32</v>
      </c>
      <c r="P53">
        <f>_xlfn.IFNA(VLOOKUP($K53,Paramètres!$A$38:$C$41,2,FALSE),"")</f>
        <v>4</v>
      </c>
      <c r="Q53">
        <f>_xlfn.IFNA(VLOOKUP($K53,Paramètres!$A$38:$C$41,3,FALSE),"")</f>
        <v>5</v>
      </c>
      <c r="R53">
        <v>108</v>
      </c>
      <c r="S53" t="b">
        <v>0</v>
      </c>
      <c r="T53">
        <v>3</v>
      </c>
      <c r="Y53" s="17"/>
      <c r="Z53" s="17"/>
      <c r="AA53" s="17"/>
      <c r="AB53" s="17"/>
    </row>
    <row r="54" spans="1:28" x14ac:dyDescent="0.3">
      <c r="A54" s="10" t="s">
        <v>151</v>
      </c>
      <c r="B54" s="10" t="s">
        <v>152</v>
      </c>
      <c r="C54" s="10" t="s">
        <v>52</v>
      </c>
      <c r="D54" s="15">
        <v>9673</v>
      </c>
      <c r="E54" s="17">
        <v>198.599526</v>
      </c>
      <c r="F54" s="17">
        <v>587.99909072823266</v>
      </c>
      <c r="G54" s="17">
        <v>476.88284086730249</v>
      </c>
      <c r="H54" s="17">
        <v>67.271891005468575</v>
      </c>
      <c r="I54" s="17">
        <v>39.596116798412474</v>
      </c>
      <c r="J54" s="17">
        <v>4.2482420570490964</v>
      </c>
      <c r="K54" s="12" t="s">
        <v>681</v>
      </c>
      <c r="L54" s="1">
        <f>VLOOKUP(K54,Paramètres!$A$18:$B$21,2,FALSE)</f>
        <v>0.34</v>
      </c>
      <c r="M54" s="1">
        <f>VLOOKUP($K54,Paramètres!$A$27:$D$30,2,FALSE)</f>
        <v>0.26</v>
      </c>
      <c r="N54" s="1">
        <f>VLOOKUP($K54,Paramètres!$A$27:$D$30,3,FALSE)</f>
        <v>0.33</v>
      </c>
      <c r="O54" s="1">
        <f>VLOOKUP($K54,Paramètres!$A$27:$D$30,4,FALSE)</f>
        <v>0.41</v>
      </c>
      <c r="P54">
        <f>_xlfn.IFNA(VLOOKUP($K54,Paramètres!$A$38:$C$41,2,FALSE),"")</f>
        <v>3</v>
      </c>
      <c r="Q54">
        <f>_xlfn.IFNA(VLOOKUP($K54,Paramètres!$A$38:$C$41,3,FALSE),"")</f>
        <v>5</v>
      </c>
      <c r="R54">
        <v>168</v>
      </c>
      <c r="S54" t="b">
        <v>0</v>
      </c>
      <c r="T54">
        <v>5</v>
      </c>
      <c r="Y54" s="17"/>
      <c r="Z54" s="17"/>
      <c r="AA54" s="17"/>
      <c r="AB54" s="17"/>
    </row>
    <row r="55" spans="1:28" x14ac:dyDescent="0.3">
      <c r="A55" s="10" t="s">
        <v>153</v>
      </c>
      <c r="B55" s="10" t="s">
        <v>154</v>
      </c>
      <c r="C55" s="10" t="s">
        <v>52</v>
      </c>
      <c r="D55" s="15">
        <v>5265</v>
      </c>
      <c r="E55" s="17">
        <v>114.06274000000001</v>
      </c>
      <c r="F55" s="17">
        <v>525.71347977276764</v>
      </c>
      <c r="G55" s="17">
        <v>466.86601359181401</v>
      </c>
      <c r="H55" s="17">
        <v>7.7587474362244198</v>
      </c>
      <c r="I55" s="17">
        <v>43.246500456696772</v>
      </c>
      <c r="J55" s="17">
        <v>7.8422182880323135</v>
      </c>
      <c r="K55" s="12" t="s">
        <v>682</v>
      </c>
      <c r="L55" s="1">
        <f>VLOOKUP(K55,Paramètres!$A$18:$B$21,2,FALSE)</f>
        <v>0.21</v>
      </c>
      <c r="M55" s="1">
        <f>VLOOKUP($K55,Paramètres!$A$27:$D$30,2,FALSE)</f>
        <v>0.33</v>
      </c>
      <c r="N55" s="1">
        <f>VLOOKUP($K55,Paramètres!$A$27:$D$30,3,FALSE)</f>
        <v>0.35</v>
      </c>
      <c r="O55" s="1">
        <f>VLOOKUP($K55,Paramètres!$A$27:$D$30,4,FALSE)</f>
        <v>0.32</v>
      </c>
      <c r="P55">
        <f>_xlfn.IFNA(VLOOKUP($K55,Paramètres!$A$38:$C$41,2,FALSE),"")</f>
        <v>4</v>
      </c>
      <c r="Q55">
        <f>_xlfn.IFNA(VLOOKUP($K55,Paramètres!$A$38:$C$41,3,FALSE),"")</f>
        <v>5</v>
      </c>
      <c r="R55">
        <v>104</v>
      </c>
      <c r="S55" t="b">
        <v>0</v>
      </c>
      <c r="T55">
        <v>3</v>
      </c>
      <c r="Y55" s="17"/>
      <c r="Z55" s="17"/>
      <c r="AA55" s="17"/>
      <c r="AB55" s="17"/>
    </row>
    <row r="56" spans="1:28" x14ac:dyDescent="0.3">
      <c r="A56" s="10" t="s">
        <v>155</v>
      </c>
      <c r="B56" s="10" t="s">
        <v>156</v>
      </c>
      <c r="C56" s="10" t="s">
        <v>52</v>
      </c>
      <c r="D56" s="15">
        <v>17220</v>
      </c>
      <c r="E56" s="17">
        <v>147.86982399999999</v>
      </c>
      <c r="F56" s="17">
        <v>710.87654016585145</v>
      </c>
      <c r="G56" s="17">
        <v>536.21405202764925</v>
      </c>
      <c r="H56" s="17">
        <v>40.010145441172533</v>
      </c>
      <c r="I56" s="17">
        <v>68.803185412910167</v>
      </c>
      <c r="J56" s="17">
        <v>65.849157284119471</v>
      </c>
      <c r="K56" s="12" t="s">
        <v>682</v>
      </c>
      <c r="L56" s="1">
        <f>VLOOKUP(K56,Paramètres!$A$18:$B$21,2,FALSE)</f>
        <v>0.21</v>
      </c>
      <c r="M56" s="1">
        <f>VLOOKUP($K56,Paramètres!$A$27:$D$30,2,FALSE)</f>
        <v>0.33</v>
      </c>
      <c r="N56" s="1">
        <f>VLOOKUP($K56,Paramètres!$A$27:$D$30,3,FALSE)</f>
        <v>0.35</v>
      </c>
      <c r="O56" s="1">
        <f>VLOOKUP($K56,Paramètres!$A$27:$D$30,4,FALSE)</f>
        <v>0.32</v>
      </c>
      <c r="P56">
        <f>_xlfn.IFNA(VLOOKUP($K56,Paramètres!$A$38:$C$41,2,FALSE),"")</f>
        <v>4</v>
      </c>
      <c r="Q56">
        <f>_xlfn.IFNA(VLOOKUP($K56,Paramètres!$A$38:$C$41,3,FALSE),"")</f>
        <v>5</v>
      </c>
      <c r="R56">
        <v>200</v>
      </c>
      <c r="S56" t="b">
        <v>1</v>
      </c>
      <c r="T56">
        <v>5</v>
      </c>
      <c r="Y56" s="17"/>
      <c r="Z56" s="17"/>
      <c r="AA56" s="17"/>
      <c r="AB56" s="17"/>
    </row>
    <row r="57" spans="1:28" x14ac:dyDescent="0.3">
      <c r="A57" s="10" t="s">
        <v>157</v>
      </c>
      <c r="B57" s="10" t="s">
        <v>158</v>
      </c>
      <c r="C57" s="10" t="s">
        <v>52</v>
      </c>
      <c r="D57" s="15">
        <v>4989</v>
      </c>
      <c r="E57" s="17">
        <v>79.500795999999994</v>
      </c>
      <c r="F57" s="17">
        <v>280.46423440955823</v>
      </c>
      <c r="G57" s="17">
        <v>215.35703303968631</v>
      </c>
      <c r="H57" s="17">
        <v>27.113663106528985</v>
      </c>
      <c r="I57" s="17">
        <v>27.068910719985482</v>
      </c>
      <c r="J57" s="17">
        <v>10.924627543357463</v>
      </c>
      <c r="K57" s="12" t="s">
        <v>682</v>
      </c>
      <c r="L57" s="1">
        <f>VLOOKUP(K57,Paramètres!$A$18:$B$21,2,FALSE)</f>
        <v>0.21</v>
      </c>
      <c r="M57" s="1">
        <f>VLOOKUP($K57,Paramètres!$A$27:$D$30,2,FALSE)</f>
        <v>0.33</v>
      </c>
      <c r="N57" s="1">
        <f>VLOOKUP($K57,Paramètres!$A$27:$D$30,3,FALSE)</f>
        <v>0.35</v>
      </c>
      <c r="O57" s="1">
        <f>VLOOKUP($K57,Paramètres!$A$27:$D$30,4,FALSE)</f>
        <v>0.32</v>
      </c>
      <c r="P57">
        <f>_xlfn.IFNA(VLOOKUP($K57,Paramètres!$A$38:$C$41,2,FALSE),"")</f>
        <v>4</v>
      </c>
      <c r="Q57">
        <f>_xlfn.IFNA(VLOOKUP($K57,Paramètres!$A$38:$C$41,3,FALSE),"")</f>
        <v>5</v>
      </c>
      <c r="R57">
        <v>94</v>
      </c>
      <c r="S57" t="b">
        <v>0</v>
      </c>
      <c r="T57">
        <v>3</v>
      </c>
      <c r="Y57" s="17"/>
      <c r="Z57" s="17"/>
      <c r="AA57" s="17"/>
      <c r="AB57" s="17"/>
    </row>
    <row r="58" spans="1:28" x14ac:dyDescent="0.3">
      <c r="A58" s="10" t="s">
        <v>159</v>
      </c>
      <c r="B58" s="10" t="s">
        <v>160</v>
      </c>
      <c r="C58" s="10" t="s">
        <v>52</v>
      </c>
      <c r="D58" s="15">
        <v>20813</v>
      </c>
      <c r="E58" s="17">
        <v>13.745634000000001</v>
      </c>
      <c r="F58" s="17">
        <v>115.36806645544664</v>
      </c>
      <c r="G58" s="17">
        <v>14.944626971594008</v>
      </c>
      <c r="H58" s="17">
        <v>12.922353023122941</v>
      </c>
      <c r="I58" s="17">
        <v>14.626388601802146</v>
      </c>
      <c r="J58" s="17">
        <v>72.874697858927533</v>
      </c>
      <c r="K58" s="12" t="s">
        <v>681</v>
      </c>
      <c r="L58" s="1">
        <f>VLOOKUP(K58,Paramètres!$A$18:$B$21,2,FALSE)</f>
        <v>0.34</v>
      </c>
      <c r="M58" s="1">
        <f>VLOOKUP($K58,Paramètres!$A$27:$D$30,2,FALSE)</f>
        <v>0.26</v>
      </c>
      <c r="N58" s="1">
        <f>VLOOKUP($K58,Paramètres!$A$27:$D$30,3,FALSE)</f>
        <v>0.33</v>
      </c>
      <c r="O58" s="1">
        <f>VLOOKUP($K58,Paramètres!$A$27:$D$30,4,FALSE)</f>
        <v>0.41</v>
      </c>
      <c r="P58">
        <f>_xlfn.IFNA(VLOOKUP($K58,Paramètres!$A$38:$C$41,2,FALSE),"")</f>
        <v>3</v>
      </c>
      <c r="Q58">
        <f>_xlfn.IFNA(VLOOKUP($K58,Paramètres!$A$38:$C$41,3,FALSE),"")</f>
        <v>5</v>
      </c>
      <c r="R58">
        <v>107</v>
      </c>
      <c r="S58" t="b">
        <v>1</v>
      </c>
      <c r="T58">
        <v>3</v>
      </c>
      <c r="Y58" s="17"/>
      <c r="Z58" s="17"/>
      <c r="AA58" s="17"/>
      <c r="AB58" s="17"/>
    </row>
    <row r="59" spans="1:28" x14ac:dyDescent="0.3">
      <c r="A59" s="10" t="s">
        <v>161</v>
      </c>
      <c r="B59" s="10" t="s">
        <v>162</v>
      </c>
      <c r="C59" s="10" t="s">
        <v>52</v>
      </c>
      <c r="D59" s="15">
        <v>5366</v>
      </c>
      <c r="E59" s="17">
        <v>22.631988</v>
      </c>
      <c r="F59" s="17">
        <v>124.27401667741692</v>
      </c>
      <c r="G59" s="17">
        <v>34.942708251600109</v>
      </c>
      <c r="H59" s="17">
        <v>45.394658310528698</v>
      </c>
      <c r="I59" s="17">
        <v>21.748555192343851</v>
      </c>
      <c r="J59" s="17">
        <v>22.18809492294427</v>
      </c>
      <c r="K59" s="12" t="s">
        <v>682</v>
      </c>
      <c r="L59" s="1">
        <f>VLOOKUP(K59,Paramètres!$A$18:$B$21,2,FALSE)</f>
        <v>0.21</v>
      </c>
      <c r="M59" s="1">
        <f>VLOOKUP($K59,Paramètres!$A$27:$D$30,2,FALSE)</f>
        <v>0.33</v>
      </c>
      <c r="N59" s="1">
        <f>VLOOKUP($K59,Paramètres!$A$27:$D$30,3,FALSE)</f>
        <v>0.35</v>
      </c>
      <c r="O59" s="1">
        <f>VLOOKUP($K59,Paramètres!$A$27:$D$30,4,FALSE)</f>
        <v>0.32</v>
      </c>
      <c r="P59">
        <f>_xlfn.IFNA(VLOOKUP($K59,Paramètres!$A$38:$C$41,2,FALSE),"")</f>
        <v>4</v>
      </c>
      <c r="Q59">
        <f>_xlfn.IFNA(VLOOKUP($K59,Paramètres!$A$38:$C$41,3,FALSE),"")</f>
        <v>5</v>
      </c>
      <c r="R59">
        <v>86</v>
      </c>
      <c r="S59" t="b">
        <v>0</v>
      </c>
      <c r="T59">
        <v>2</v>
      </c>
      <c r="Y59" s="17"/>
      <c r="Z59" s="17"/>
      <c r="AA59" s="17"/>
      <c r="AB59" s="17"/>
    </row>
    <row r="60" spans="1:28" x14ac:dyDescent="0.3">
      <c r="A60" s="10" t="s">
        <v>163</v>
      </c>
      <c r="B60" s="10" t="s">
        <v>164</v>
      </c>
      <c r="C60" s="10" t="s">
        <v>52</v>
      </c>
      <c r="D60" s="15">
        <v>18337</v>
      </c>
      <c r="E60" s="17">
        <v>61.339619999999996</v>
      </c>
      <c r="F60" s="17">
        <v>308.0889336424496</v>
      </c>
      <c r="G60" s="17">
        <v>191.03281942530504</v>
      </c>
      <c r="H60" s="17">
        <v>37.405968399566738</v>
      </c>
      <c r="I60" s="17">
        <v>62.880242493806307</v>
      </c>
      <c r="J60" s="17">
        <v>16.76990332377158</v>
      </c>
      <c r="K60" s="12" t="s">
        <v>681</v>
      </c>
      <c r="L60" s="1">
        <f>VLOOKUP(K60,Paramètres!$A$18:$B$21,2,FALSE)</f>
        <v>0.34</v>
      </c>
      <c r="M60" s="1">
        <f>VLOOKUP($K60,Paramètres!$A$27:$D$30,2,FALSE)</f>
        <v>0.26</v>
      </c>
      <c r="N60" s="1">
        <f>VLOOKUP($K60,Paramètres!$A$27:$D$30,3,FALSE)</f>
        <v>0.33</v>
      </c>
      <c r="O60" s="1">
        <f>VLOOKUP($K60,Paramètres!$A$27:$D$30,4,FALSE)</f>
        <v>0.41</v>
      </c>
      <c r="P60">
        <f>_xlfn.IFNA(VLOOKUP($K60,Paramètres!$A$38:$C$41,2,FALSE),"")</f>
        <v>3</v>
      </c>
      <c r="Q60">
        <f>_xlfn.IFNA(VLOOKUP($K60,Paramètres!$A$38:$C$41,3,FALSE),"")</f>
        <v>5</v>
      </c>
      <c r="R60">
        <v>215</v>
      </c>
      <c r="S60" t="b">
        <v>0</v>
      </c>
      <c r="T60">
        <v>6</v>
      </c>
      <c r="Y60" s="17"/>
      <c r="Z60" s="17"/>
      <c r="AA60" s="17"/>
      <c r="AB60" s="17"/>
    </row>
    <row r="61" spans="1:28" x14ac:dyDescent="0.3">
      <c r="A61" s="10" t="s">
        <v>165</v>
      </c>
      <c r="B61" s="10" t="s">
        <v>166</v>
      </c>
      <c r="C61" s="10" t="s">
        <v>52</v>
      </c>
      <c r="D61" s="15">
        <v>31436</v>
      </c>
      <c r="E61" s="17">
        <v>44.524901999999997</v>
      </c>
      <c r="F61" s="17">
        <v>267.9887395352647</v>
      </c>
      <c r="G61" s="17">
        <v>100.97212663569681</v>
      </c>
      <c r="H61" s="17">
        <v>47.228987017510406</v>
      </c>
      <c r="I61" s="17">
        <v>35.442549334171531</v>
      </c>
      <c r="J61" s="17">
        <v>84.345076547885967</v>
      </c>
      <c r="K61" s="12" t="s">
        <v>681</v>
      </c>
      <c r="L61" s="1">
        <f>VLOOKUP(K61,Paramètres!$A$18:$B$21,2,FALSE)</f>
        <v>0.34</v>
      </c>
      <c r="M61" s="1">
        <f>VLOOKUP($K61,Paramètres!$A$27:$D$30,2,FALSE)</f>
        <v>0.26</v>
      </c>
      <c r="N61" s="1">
        <f>VLOOKUP($K61,Paramètres!$A$27:$D$30,3,FALSE)</f>
        <v>0.33</v>
      </c>
      <c r="O61" s="1">
        <f>VLOOKUP($K61,Paramètres!$A$27:$D$30,4,FALSE)</f>
        <v>0.41</v>
      </c>
      <c r="P61">
        <f>_xlfn.IFNA(VLOOKUP($K61,Paramètres!$A$38:$C$41,2,FALSE),"")</f>
        <v>3</v>
      </c>
      <c r="Q61">
        <f>_xlfn.IFNA(VLOOKUP($K61,Paramètres!$A$38:$C$41,3,FALSE),"")</f>
        <v>5</v>
      </c>
      <c r="R61">
        <v>289</v>
      </c>
      <c r="S61" t="b">
        <v>0</v>
      </c>
      <c r="T61">
        <v>8</v>
      </c>
      <c r="Y61" s="17"/>
      <c r="Z61" s="17"/>
      <c r="AA61" s="17"/>
      <c r="AB61" s="17"/>
    </row>
    <row r="62" spans="1:28" x14ac:dyDescent="0.3">
      <c r="A62" s="10" t="s">
        <v>167</v>
      </c>
      <c r="B62" s="10" t="s">
        <v>168</v>
      </c>
      <c r="C62" s="10" t="s">
        <v>52</v>
      </c>
      <c r="D62" s="15">
        <v>10927</v>
      </c>
      <c r="E62" s="17">
        <v>26.875433999999998</v>
      </c>
      <c r="F62" s="17">
        <v>173.76883082339151</v>
      </c>
      <c r="G62" s="17">
        <v>63.953802774138282</v>
      </c>
      <c r="H62" s="17">
        <v>40.343250383772478</v>
      </c>
      <c r="I62" s="17">
        <v>18.835478471111973</v>
      </c>
      <c r="J62" s="17">
        <v>50.636299194368782</v>
      </c>
      <c r="K62" s="12" t="s">
        <v>682</v>
      </c>
      <c r="L62" s="1">
        <f>VLOOKUP(K62,Paramètres!$A$18:$B$21,2,FALSE)</f>
        <v>0.21</v>
      </c>
      <c r="M62" s="1">
        <f>VLOOKUP($K62,Paramètres!$A$27:$D$30,2,FALSE)</f>
        <v>0.33</v>
      </c>
      <c r="N62" s="1">
        <f>VLOOKUP($K62,Paramètres!$A$27:$D$30,3,FALSE)</f>
        <v>0.35</v>
      </c>
      <c r="O62" s="1">
        <f>VLOOKUP($K62,Paramètres!$A$27:$D$30,4,FALSE)</f>
        <v>0.32</v>
      </c>
      <c r="P62">
        <f>_xlfn.IFNA(VLOOKUP($K62,Paramètres!$A$38:$C$41,2,FALSE),"")</f>
        <v>4</v>
      </c>
      <c r="Q62">
        <f>_xlfn.IFNA(VLOOKUP($K62,Paramètres!$A$38:$C$41,3,FALSE),"")</f>
        <v>5</v>
      </c>
      <c r="R62">
        <v>147</v>
      </c>
      <c r="S62" t="b">
        <v>1</v>
      </c>
      <c r="T62">
        <v>4</v>
      </c>
      <c r="Y62" s="17"/>
      <c r="Z62" s="17"/>
      <c r="AA62" s="17"/>
      <c r="AB62" s="17"/>
    </row>
    <row r="63" spans="1:28" x14ac:dyDescent="0.3">
      <c r="A63" s="10" t="s">
        <v>169</v>
      </c>
      <c r="B63" s="10" t="s">
        <v>170</v>
      </c>
      <c r="C63" s="10" t="s">
        <v>52</v>
      </c>
      <c r="D63" s="15">
        <v>13919</v>
      </c>
      <c r="E63" s="17">
        <v>206.96561399999999</v>
      </c>
      <c r="F63" s="17">
        <v>723.82021897079915</v>
      </c>
      <c r="G63" s="17">
        <v>573.06880503839193</v>
      </c>
      <c r="H63" s="17">
        <v>79.138084318616237</v>
      </c>
      <c r="I63" s="17">
        <v>50.447720670849471</v>
      </c>
      <c r="J63" s="17">
        <v>21.165608942941581</v>
      </c>
      <c r="K63" s="12" t="s">
        <v>681</v>
      </c>
      <c r="L63" s="1">
        <f>VLOOKUP(K63,Paramètres!$A$18:$B$21,2,FALSE)</f>
        <v>0.34</v>
      </c>
      <c r="M63" s="1">
        <f>VLOOKUP($K63,Paramètres!$A$27:$D$30,2,FALSE)</f>
        <v>0.26</v>
      </c>
      <c r="N63" s="1">
        <f>VLOOKUP($K63,Paramètres!$A$27:$D$30,3,FALSE)</f>
        <v>0.33</v>
      </c>
      <c r="O63" s="1">
        <f>VLOOKUP($K63,Paramètres!$A$27:$D$30,4,FALSE)</f>
        <v>0.41</v>
      </c>
      <c r="P63">
        <f>_xlfn.IFNA(VLOOKUP($K63,Paramètres!$A$38:$C$41,2,FALSE),"")</f>
        <v>3</v>
      </c>
      <c r="Q63">
        <f>_xlfn.IFNA(VLOOKUP($K63,Paramètres!$A$38:$C$41,3,FALSE),"")</f>
        <v>5</v>
      </c>
      <c r="R63">
        <v>183</v>
      </c>
      <c r="S63" t="b">
        <v>0</v>
      </c>
      <c r="T63">
        <v>5</v>
      </c>
      <c r="Y63" s="17"/>
      <c r="Z63" s="17"/>
      <c r="AA63" s="17"/>
      <c r="AB63" s="17"/>
    </row>
    <row r="64" spans="1:28" x14ac:dyDescent="0.3">
      <c r="A64" s="10" t="s">
        <v>171</v>
      </c>
      <c r="B64" s="10" t="s">
        <v>172</v>
      </c>
      <c r="C64" s="10" t="s">
        <v>52</v>
      </c>
      <c r="D64" s="15">
        <v>3573</v>
      </c>
      <c r="E64" s="17">
        <v>16.969199</v>
      </c>
      <c r="F64" s="17">
        <v>76.326761508041812</v>
      </c>
      <c r="G64" s="17">
        <v>0</v>
      </c>
      <c r="H64" s="17">
        <v>56.287331457597453</v>
      </c>
      <c r="I64" s="17">
        <v>7.8351783855802948</v>
      </c>
      <c r="J64" s="17">
        <v>12.204251664864056</v>
      </c>
      <c r="K64" s="12" t="s">
        <v>682</v>
      </c>
      <c r="L64" s="1">
        <f>VLOOKUP(K64,Paramètres!$A$18:$B$21,2,FALSE)</f>
        <v>0.21</v>
      </c>
      <c r="M64" s="1">
        <f>VLOOKUP($K64,Paramètres!$A$27:$D$30,2,FALSE)</f>
        <v>0.33</v>
      </c>
      <c r="N64" s="1">
        <f>VLOOKUP($K64,Paramètres!$A$27:$D$30,3,FALSE)</f>
        <v>0.35</v>
      </c>
      <c r="O64" s="1">
        <f>VLOOKUP($K64,Paramètres!$A$27:$D$30,4,FALSE)</f>
        <v>0.32</v>
      </c>
      <c r="P64">
        <f>_xlfn.IFNA(VLOOKUP($K64,Paramètres!$A$38:$C$41,2,FALSE),"")</f>
        <v>4</v>
      </c>
      <c r="Q64">
        <f>_xlfn.IFNA(VLOOKUP($K64,Paramètres!$A$38:$C$41,3,FALSE),"")</f>
        <v>5</v>
      </c>
      <c r="R64">
        <v>95</v>
      </c>
      <c r="S64" t="b">
        <v>0</v>
      </c>
      <c r="T64">
        <v>3</v>
      </c>
      <c r="Y64" s="17"/>
      <c r="Z64" s="17"/>
      <c r="AA64" s="17"/>
      <c r="AB64" s="17"/>
    </row>
    <row r="65" spans="1:28" x14ac:dyDescent="0.3">
      <c r="A65" s="10" t="s">
        <v>173</v>
      </c>
      <c r="B65" s="10" t="s">
        <v>174</v>
      </c>
      <c r="C65" s="10" t="s">
        <v>52</v>
      </c>
      <c r="D65" s="15">
        <v>7711</v>
      </c>
      <c r="E65" s="17">
        <v>36.108910000000002</v>
      </c>
      <c r="F65" s="17">
        <v>178.94883893218145</v>
      </c>
      <c r="G65" s="17">
        <v>49.425430909531499</v>
      </c>
      <c r="H65" s="17">
        <v>86.891446989759444</v>
      </c>
      <c r="I65" s="17">
        <v>12.993192044447552</v>
      </c>
      <c r="J65" s="17">
        <v>29.638768988442955</v>
      </c>
      <c r="K65" s="12" t="s">
        <v>682</v>
      </c>
      <c r="L65" s="1">
        <f>VLOOKUP(K65,Paramètres!$A$18:$B$21,2,FALSE)</f>
        <v>0.21</v>
      </c>
      <c r="M65" s="1">
        <f>VLOOKUP($K65,Paramètres!$A$27:$D$30,2,FALSE)</f>
        <v>0.33</v>
      </c>
      <c r="N65" s="1">
        <f>VLOOKUP($K65,Paramètres!$A$27:$D$30,3,FALSE)</f>
        <v>0.35</v>
      </c>
      <c r="O65" s="1">
        <f>VLOOKUP($K65,Paramètres!$A$27:$D$30,4,FALSE)</f>
        <v>0.32</v>
      </c>
      <c r="P65">
        <f>_xlfn.IFNA(VLOOKUP($K65,Paramètres!$A$38:$C$41,2,FALSE),"")</f>
        <v>4</v>
      </c>
      <c r="Q65">
        <f>_xlfn.IFNA(VLOOKUP($K65,Paramètres!$A$38:$C$41,3,FALSE),"")</f>
        <v>5</v>
      </c>
      <c r="R65">
        <v>106</v>
      </c>
      <c r="S65" t="b">
        <v>0</v>
      </c>
      <c r="T65">
        <v>3</v>
      </c>
      <c r="Y65" s="17"/>
      <c r="Z65" s="17"/>
      <c r="AA65" s="17"/>
      <c r="AB65" s="17"/>
    </row>
    <row r="66" spans="1:28" x14ac:dyDescent="0.3">
      <c r="A66" s="10" t="s">
        <v>175</v>
      </c>
      <c r="B66" s="10" t="s">
        <v>176</v>
      </c>
      <c r="C66" s="10" t="s">
        <v>52</v>
      </c>
      <c r="D66" s="15">
        <v>1416</v>
      </c>
      <c r="E66" s="17">
        <v>56.869289999999999</v>
      </c>
      <c r="F66" s="17">
        <v>277.49311220829713</v>
      </c>
      <c r="G66" s="17">
        <v>258.15846627819269</v>
      </c>
      <c r="H66" s="17">
        <v>5.8741897788905408</v>
      </c>
      <c r="I66" s="17">
        <v>13.460456151213899</v>
      </c>
      <c r="J66" s="17">
        <v>0</v>
      </c>
      <c r="K66" s="12" t="s">
        <v>682</v>
      </c>
      <c r="L66" s="1">
        <f>VLOOKUP(K66,Paramètres!$A$18:$B$21,2,FALSE)</f>
        <v>0.21</v>
      </c>
      <c r="M66" s="1">
        <f>VLOOKUP($K66,Paramètres!$A$27:$D$30,2,FALSE)</f>
        <v>0.33</v>
      </c>
      <c r="N66" s="1">
        <f>VLOOKUP($K66,Paramètres!$A$27:$D$30,3,FALSE)</f>
        <v>0.35</v>
      </c>
      <c r="O66" s="1">
        <f>VLOOKUP($K66,Paramètres!$A$27:$D$30,4,FALSE)</f>
        <v>0.32</v>
      </c>
      <c r="P66">
        <f>_xlfn.IFNA(VLOOKUP($K66,Paramètres!$A$38:$C$41,2,FALSE),"")</f>
        <v>4</v>
      </c>
      <c r="Q66">
        <f>_xlfn.IFNA(VLOOKUP($K66,Paramètres!$A$38:$C$41,3,FALSE),"")</f>
        <v>5</v>
      </c>
      <c r="R66">
        <v>98</v>
      </c>
      <c r="S66" t="b">
        <v>0</v>
      </c>
      <c r="T66">
        <v>3</v>
      </c>
      <c r="Y66" s="17"/>
      <c r="Z66" s="17"/>
      <c r="AA66" s="17"/>
      <c r="AB66" s="17"/>
    </row>
    <row r="67" spans="1:28" x14ac:dyDescent="0.3">
      <c r="A67" s="10" t="s">
        <v>177</v>
      </c>
      <c r="B67" s="10" t="s">
        <v>178</v>
      </c>
      <c r="C67" s="10" t="s">
        <v>52</v>
      </c>
      <c r="D67" s="15">
        <v>13261</v>
      </c>
      <c r="E67" s="17">
        <v>100.047349</v>
      </c>
      <c r="F67" s="17">
        <v>465.33381279572711</v>
      </c>
      <c r="G67" s="17">
        <v>333.14657302505611</v>
      </c>
      <c r="H67" s="17">
        <v>14.012527272290107</v>
      </c>
      <c r="I67" s="17">
        <v>74.379208364036415</v>
      </c>
      <c r="J67" s="17">
        <v>43.795504134344547</v>
      </c>
      <c r="K67" s="12" t="s">
        <v>682</v>
      </c>
      <c r="L67" s="1">
        <f>VLOOKUP(K67,Paramètres!$A$18:$B$21,2,FALSE)</f>
        <v>0.21</v>
      </c>
      <c r="M67" s="1">
        <f>VLOOKUP($K67,Paramètres!$A$27:$D$30,2,FALSE)</f>
        <v>0.33</v>
      </c>
      <c r="N67" s="1">
        <f>VLOOKUP($K67,Paramètres!$A$27:$D$30,3,FALSE)</f>
        <v>0.35</v>
      </c>
      <c r="O67" s="1">
        <f>VLOOKUP($K67,Paramètres!$A$27:$D$30,4,FALSE)</f>
        <v>0.32</v>
      </c>
      <c r="P67">
        <f>_xlfn.IFNA(VLOOKUP($K67,Paramètres!$A$38:$C$41,2,FALSE),"")</f>
        <v>4</v>
      </c>
      <c r="Q67">
        <f>_xlfn.IFNA(VLOOKUP($K67,Paramètres!$A$38:$C$41,3,FALSE),"")</f>
        <v>5</v>
      </c>
      <c r="R67">
        <v>123</v>
      </c>
      <c r="S67" t="b">
        <v>1</v>
      </c>
      <c r="T67">
        <v>3</v>
      </c>
      <c r="Y67" s="17"/>
      <c r="Z67" s="17"/>
      <c r="AA67" s="17"/>
      <c r="AB67" s="17"/>
    </row>
    <row r="68" spans="1:28" x14ac:dyDescent="0.3">
      <c r="A68" s="10" t="s">
        <v>179</v>
      </c>
      <c r="B68" s="10" t="s">
        <v>180</v>
      </c>
      <c r="C68" s="10" t="s">
        <v>52</v>
      </c>
      <c r="D68" s="15">
        <v>15226</v>
      </c>
      <c r="E68" s="17">
        <v>13.971658</v>
      </c>
      <c r="F68" s="17">
        <v>115.67364954167444</v>
      </c>
      <c r="G68" s="17">
        <v>4.3028771019740581</v>
      </c>
      <c r="H68" s="17">
        <v>42.257701145989273</v>
      </c>
      <c r="I68" s="17">
        <v>27.508775467625259</v>
      </c>
      <c r="J68" s="17">
        <v>41.604295826085838</v>
      </c>
      <c r="K68" s="12" t="s">
        <v>681</v>
      </c>
      <c r="L68" s="1">
        <f>VLOOKUP(K68,Paramètres!$A$18:$B$21,2,FALSE)</f>
        <v>0.34</v>
      </c>
      <c r="M68" s="1">
        <f>VLOOKUP($K68,Paramètres!$A$27:$D$30,2,FALSE)</f>
        <v>0.26</v>
      </c>
      <c r="N68" s="1">
        <f>VLOOKUP($K68,Paramètres!$A$27:$D$30,3,FALSE)</f>
        <v>0.33</v>
      </c>
      <c r="O68" s="1">
        <f>VLOOKUP($K68,Paramètres!$A$27:$D$30,4,FALSE)</f>
        <v>0.41</v>
      </c>
      <c r="P68">
        <f>_xlfn.IFNA(VLOOKUP($K68,Paramètres!$A$38:$C$41,2,FALSE),"")</f>
        <v>3</v>
      </c>
      <c r="Q68">
        <f>_xlfn.IFNA(VLOOKUP($K68,Paramètres!$A$38:$C$41,3,FALSE),"")</f>
        <v>5</v>
      </c>
      <c r="R68">
        <v>142</v>
      </c>
      <c r="S68" t="b">
        <v>0</v>
      </c>
      <c r="T68">
        <v>4</v>
      </c>
      <c r="Y68" s="17"/>
      <c r="Z68" s="17"/>
      <c r="AA68" s="17"/>
      <c r="AB68" s="17"/>
    </row>
    <row r="69" spans="1:28" x14ac:dyDescent="0.3">
      <c r="A69" s="10" t="s">
        <v>181</v>
      </c>
      <c r="B69" s="10" t="s">
        <v>182</v>
      </c>
      <c r="C69" s="10" t="s">
        <v>52</v>
      </c>
      <c r="D69" s="15">
        <v>2973</v>
      </c>
      <c r="E69" s="17">
        <v>84.120508000000001</v>
      </c>
      <c r="F69" s="17">
        <v>238.55770853307413</v>
      </c>
      <c r="G69" s="17">
        <v>209.72630256777742</v>
      </c>
      <c r="H69" s="17">
        <v>1.6040545719406674</v>
      </c>
      <c r="I69" s="17">
        <v>13.234256634667872</v>
      </c>
      <c r="J69" s="17">
        <v>13.993094758688173</v>
      </c>
      <c r="K69" s="12" t="s">
        <v>682</v>
      </c>
      <c r="L69" s="1">
        <f>VLOOKUP(K69,Paramètres!$A$18:$B$21,2,FALSE)</f>
        <v>0.21</v>
      </c>
      <c r="M69" s="1">
        <f>VLOOKUP($K69,Paramètres!$A$27:$D$30,2,FALSE)</f>
        <v>0.33</v>
      </c>
      <c r="N69" s="1">
        <f>VLOOKUP($K69,Paramètres!$A$27:$D$30,3,FALSE)</f>
        <v>0.35</v>
      </c>
      <c r="O69" s="1">
        <f>VLOOKUP($K69,Paramètres!$A$27:$D$30,4,FALSE)</f>
        <v>0.32</v>
      </c>
      <c r="P69">
        <f>_xlfn.IFNA(VLOOKUP($K69,Paramètres!$A$38:$C$41,2,FALSE),"")</f>
        <v>4</v>
      </c>
      <c r="Q69">
        <f>_xlfn.IFNA(VLOOKUP($K69,Paramètres!$A$38:$C$41,3,FALSE),"")</f>
        <v>5</v>
      </c>
      <c r="R69">
        <v>99</v>
      </c>
      <c r="S69" t="b">
        <v>1</v>
      </c>
      <c r="T69">
        <v>3</v>
      </c>
      <c r="Y69" s="17"/>
      <c r="Z69" s="17"/>
      <c r="AA69" s="17"/>
      <c r="AB69" s="17"/>
    </row>
    <row r="70" spans="1:28" x14ac:dyDescent="0.3">
      <c r="A70" s="10" t="s">
        <v>183</v>
      </c>
      <c r="B70" s="10" t="s">
        <v>184</v>
      </c>
      <c r="C70" s="10" t="s">
        <v>52</v>
      </c>
      <c r="D70" s="15">
        <v>3128</v>
      </c>
      <c r="E70" s="17">
        <v>23.451180999999998</v>
      </c>
      <c r="F70" s="17">
        <v>86.665761520357364</v>
      </c>
      <c r="G70" s="17">
        <v>59.447716841128646</v>
      </c>
      <c r="H70" s="17">
        <v>0</v>
      </c>
      <c r="I70" s="17">
        <v>24.56770433570988</v>
      </c>
      <c r="J70" s="17">
        <v>2.6503403435188564</v>
      </c>
      <c r="K70" s="12" t="s">
        <v>682</v>
      </c>
      <c r="L70" s="1">
        <f>VLOOKUP(K70,Paramètres!$A$18:$B$21,2,FALSE)</f>
        <v>0.21</v>
      </c>
      <c r="M70" s="1">
        <f>VLOOKUP($K70,Paramètres!$A$27:$D$30,2,FALSE)</f>
        <v>0.33</v>
      </c>
      <c r="N70" s="1">
        <f>VLOOKUP($K70,Paramètres!$A$27:$D$30,3,FALSE)</f>
        <v>0.35</v>
      </c>
      <c r="O70" s="1">
        <f>VLOOKUP($K70,Paramètres!$A$27:$D$30,4,FALSE)</f>
        <v>0.32</v>
      </c>
      <c r="P70">
        <f>_xlfn.IFNA(VLOOKUP($K70,Paramètres!$A$38:$C$41,2,FALSE),"")</f>
        <v>4</v>
      </c>
      <c r="Q70">
        <f>_xlfn.IFNA(VLOOKUP($K70,Paramètres!$A$38:$C$41,3,FALSE),"")</f>
        <v>5</v>
      </c>
      <c r="R70">
        <v>67</v>
      </c>
      <c r="S70" t="b">
        <v>0</v>
      </c>
      <c r="T70">
        <v>2</v>
      </c>
      <c r="Y70" s="17"/>
      <c r="Z70" s="17"/>
      <c r="AA70" s="17"/>
      <c r="AB70" s="17"/>
    </row>
    <row r="71" spans="1:28" x14ac:dyDescent="0.3">
      <c r="A71" s="10" t="s">
        <v>185</v>
      </c>
      <c r="B71" s="10" t="s">
        <v>186</v>
      </c>
      <c r="C71" s="10" t="s">
        <v>52</v>
      </c>
      <c r="D71" s="15">
        <v>16559</v>
      </c>
      <c r="E71" s="17">
        <v>33.619754999999998</v>
      </c>
      <c r="F71" s="17">
        <v>194.55414963300177</v>
      </c>
      <c r="G71" s="17">
        <v>48.414135912610668</v>
      </c>
      <c r="H71" s="17">
        <v>34.361637527154436</v>
      </c>
      <c r="I71" s="17">
        <v>21.39407619973618</v>
      </c>
      <c r="J71" s="17">
        <v>90.384299993500491</v>
      </c>
      <c r="K71" s="12" t="s">
        <v>682</v>
      </c>
      <c r="L71" s="1">
        <f>VLOOKUP(K71,Paramètres!$A$18:$B$21,2,FALSE)</f>
        <v>0.21</v>
      </c>
      <c r="M71" s="1">
        <f>VLOOKUP($K71,Paramètres!$A$27:$D$30,2,FALSE)</f>
        <v>0.33</v>
      </c>
      <c r="N71" s="1">
        <f>VLOOKUP($K71,Paramètres!$A$27:$D$30,3,FALSE)</f>
        <v>0.35</v>
      </c>
      <c r="O71" s="1">
        <f>VLOOKUP($K71,Paramètres!$A$27:$D$30,4,FALSE)</f>
        <v>0.32</v>
      </c>
      <c r="P71">
        <f>_xlfn.IFNA(VLOOKUP($K71,Paramètres!$A$38:$C$41,2,FALSE),"")</f>
        <v>4</v>
      </c>
      <c r="Q71">
        <f>_xlfn.IFNA(VLOOKUP($K71,Paramètres!$A$38:$C$41,3,FALSE),"")</f>
        <v>5</v>
      </c>
      <c r="R71">
        <v>171</v>
      </c>
      <c r="S71" t="b">
        <v>0</v>
      </c>
      <c r="T71">
        <v>5</v>
      </c>
      <c r="Y71" s="17"/>
      <c r="Z71" s="17"/>
      <c r="AA71" s="17"/>
      <c r="AB71" s="17"/>
    </row>
    <row r="72" spans="1:28" x14ac:dyDescent="0.3">
      <c r="A72" s="10" t="s">
        <v>187</v>
      </c>
      <c r="B72" s="10" t="s">
        <v>188</v>
      </c>
      <c r="C72" s="10" t="s">
        <v>52</v>
      </c>
      <c r="D72" s="15">
        <v>11511</v>
      </c>
      <c r="E72" s="17">
        <v>157.07944900000001</v>
      </c>
      <c r="F72" s="17">
        <v>746.20093274458077</v>
      </c>
      <c r="G72" s="17">
        <v>545.27330602704626</v>
      </c>
      <c r="H72" s="17">
        <v>167.82221943183737</v>
      </c>
      <c r="I72" s="17">
        <v>28.9415363476487</v>
      </c>
      <c r="J72" s="17">
        <v>4.1638709380484888</v>
      </c>
      <c r="K72" s="12" t="s">
        <v>681</v>
      </c>
      <c r="L72" s="1">
        <f>VLOOKUP(K72,Paramètres!$A$18:$B$21,2,FALSE)</f>
        <v>0.34</v>
      </c>
      <c r="M72" s="1">
        <f>VLOOKUP($K72,Paramètres!$A$27:$D$30,2,FALSE)</f>
        <v>0.26</v>
      </c>
      <c r="N72" s="1">
        <f>VLOOKUP($K72,Paramètres!$A$27:$D$30,3,FALSE)</f>
        <v>0.33</v>
      </c>
      <c r="O72" s="1">
        <f>VLOOKUP($K72,Paramètres!$A$27:$D$30,4,FALSE)</f>
        <v>0.41</v>
      </c>
      <c r="P72">
        <f>_xlfn.IFNA(VLOOKUP($K72,Paramètres!$A$38:$C$41,2,FALSE),"")</f>
        <v>3</v>
      </c>
      <c r="Q72">
        <f>_xlfn.IFNA(VLOOKUP($K72,Paramètres!$A$38:$C$41,3,FALSE),"")</f>
        <v>5</v>
      </c>
      <c r="R72">
        <v>235</v>
      </c>
      <c r="S72" t="b">
        <v>0</v>
      </c>
      <c r="T72">
        <v>6</v>
      </c>
      <c r="Y72" s="17"/>
      <c r="Z72" s="17"/>
      <c r="AA72" s="17"/>
      <c r="AB72" s="17"/>
    </row>
    <row r="73" spans="1:28" x14ac:dyDescent="0.3">
      <c r="A73" s="10" t="s">
        <v>189</v>
      </c>
      <c r="B73" s="10" t="s">
        <v>190</v>
      </c>
      <c r="C73" s="10" t="s">
        <v>52</v>
      </c>
      <c r="D73" s="15">
        <v>11622</v>
      </c>
      <c r="E73" s="17">
        <v>34.860505000000003</v>
      </c>
      <c r="F73" s="17">
        <v>206.62488030927105</v>
      </c>
      <c r="G73" s="17">
        <v>81.46939494378806</v>
      </c>
      <c r="H73" s="17">
        <v>67.759132578984762</v>
      </c>
      <c r="I73" s="17">
        <v>19.570737661382456</v>
      </c>
      <c r="J73" s="17">
        <v>37.825615125115746</v>
      </c>
      <c r="K73" s="12" t="s">
        <v>682</v>
      </c>
      <c r="L73" s="1">
        <f>VLOOKUP(K73,Paramètres!$A$18:$B$21,2,FALSE)</f>
        <v>0.21</v>
      </c>
      <c r="M73" s="1">
        <f>VLOOKUP($K73,Paramètres!$A$27:$D$30,2,FALSE)</f>
        <v>0.33</v>
      </c>
      <c r="N73" s="1">
        <f>VLOOKUP($K73,Paramètres!$A$27:$D$30,3,FALSE)</f>
        <v>0.35</v>
      </c>
      <c r="O73" s="1">
        <f>VLOOKUP($K73,Paramètres!$A$27:$D$30,4,FALSE)</f>
        <v>0.32</v>
      </c>
      <c r="P73">
        <f>_xlfn.IFNA(VLOOKUP($K73,Paramètres!$A$38:$C$41,2,FALSE),"")</f>
        <v>4</v>
      </c>
      <c r="Q73">
        <f>_xlfn.IFNA(VLOOKUP($K73,Paramètres!$A$38:$C$41,3,FALSE),"")</f>
        <v>5</v>
      </c>
      <c r="R73">
        <v>112</v>
      </c>
      <c r="S73" t="b">
        <v>1</v>
      </c>
      <c r="T73">
        <v>3</v>
      </c>
      <c r="Y73" s="17"/>
      <c r="Z73" s="17"/>
      <c r="AA73" s="17"/>
      <c r="AB73" s="17"/>
    </row>
    <row r="74" spans="1:28" x14ac:dyDescent="0.3">
      <c r="A74" s="10" t="s">
        <v>191</v>
      </c>
      <c r="B74" s="10" t="s">
        <v>192</v>
      </c>
      <c r="C74" s="10" t="s">
        <v>52</v>
      </c>
      <c r="D74" s="15">
        <v>16954</v>
      </c>
      <c r="E74" s="17">
        <v>103.217932</v>
      </c>
      <c r="F74" s="17">
        <v>377.01357248241698</v>
      </c>
      <c r="G74" s="17">
        <v>246.2344826327458</v>
      </c>
      <c r="H74" s="17">
        <v>11.398397009509083</v>
      </c>
      <c r="I74" s="17">
        <v>66.60931616961409</v>
      </c>
      <c r="J74" s="17">
        <v>52.771376670547973</v>
      </c>
      <c r="K74" s="12" t="s">
        <v>682</v>
      </c>
      <c r="L74" s="1">
        <f>VLOOKUP(K74,Paramètres!$A$18:$B$21,2,FALSE)</f>
        <v>0.21</v>
      </c>
      <c r="M74" s="1">
        <f>VLOOKUP($K74,Paramètres!$A$27:$D$30,2,FALSE)</f>
        <v>0.33</v>
      </c>
      <c r="N74" s="1">
        <f>VLOOKUP($K74,Paramètres!$A$27:$D$30,3,FALSE)</f>
        <v>0.35</v>
      </c>
      <c r="O74" s="1">
        <f>VLOOKUP($K74,Paramètres!$A$27:$D$30,4,FALSE)</f>
        <v>0.32</v>
      </c>
      <c r="P74">
        <f>_xlfn.IFNA(VLOOKUP($K74,Paramètres!$A$38:$C$41,2,FALSE),"")</f>
        <v>4</v>
      </c>
      <c r="Q74">
        <f>_xlfn.IFNA(VLOOKUP($K74,Paramètres!$A$38:$C$41,3,FALSE),"")</f>
        <v>5</v>
      </c>
      <c r="R74">
        <v>183</v>
      </c>
      <c r="S74" t="b">
        <v>0</v>
      </c>
      <c r="T74">
        <v>5</v>
      </c>
      <c r="Y74" s="17"/>
      <c r="Z74" s="17"/>
      <c r="AA74" s="17"/>
      <c r="AB74" s="17"/>
    </row>
    <row r="75" spans="1:28" x14ac:dyDescent="0.3">
      <c r="A75" s="10" t="s">
        <v>193</v>
      </c>
      <c r="B75" s="10" t="s">
        <v>194</v>
      </c>
      <c r="C75" s="10" t="s">
        <v>52</v>
      </c>
      <c r="D75" s="15">
        <v>5948</v>
      </c>
      <c r="E75" s="17">
        <v>45.113290999999997</v>
      </c>
      <c r="F75" s="17">
        <v>205.03223078876624</v>
      </c>
      <c r="G75" s="17">
        <v>25.612199395883017</v>
      </c>
      <c r="H75" s="17">
        <v>163.97131394037436</v>
      </c>
      <c r="I75" s="17">
        <v>15.448717452508847</v>
      </c>
      <c r="J75" s="17">
        <v>0</v>
      </c>
      <c r="K75" s="12" t="s">
        <v>682</v>
      </c>
      <c r="L75" s="1">
        <f>VLOOKUP(K75,Paramètres!$A$18:$B$21,2,FALSE)</f>
        <v>0.21</v>
      </c>
      <c r="M75" s="1">
        <f>VLOOKUP($K75,Paramètres!$A$27:$D$30,2,FALSE)</f>
        <v>0.33</v>
      </c>
      <c r="N75" s="1">
        <f>VLOOKUP($K75,Paramètres!$A$27:$D$30,3,FALSE)</f>
        <v>0.35</v>
      </c>
      <c r="O75" s="1">
        <f>VLOOKUP($K75,Paramètres!$A$27:$D$30,4,FALSE)</f>
        <v>0.32</v>
      </c>
      <c r="P75">
        <f>_xlfn.IFNA(VLOOKUP($K75,Paramètres!$A$38:$C$41,2,FALSE),"")</f>
        <v>4</v>
      </c>
      <c r="Q75">
        <f>_xlfn.IFNA(VLOOKUP($K75,Paramètres!$A$38:$C$41,3,FALSE),"")</f>
        <v>5</v>
      </c>
      <c r="R75">
        <v>94</v>
      </c>
      <c r="S75" t="b">
        <v>0</v>
      </c>
      <c r="T75">
        <v>3</v>
      </c>
      <c r="Y75" s="17"/>
      <c r="Z75" s="17"/>
      <c r="AA75" s="17"/>
      <c r="AB75" s="17"/>
    </row>
    <row r="76" spans="1:28" x14ac:dyDescent="0.3">
      <c r="A76" s="10" t="s">
        <v>195</v>
      </c>
      <c r="B76" s="10" t="s">
        <v>196</v>
      </c>
      <c r="C76" s="10" t="s">
        <v>52</v>
      </c>
      <c r="D76" s="15">
        <v>14567</v>
      </c>
      <c r="E76" s="17">
        <v>39.396408999999998</v>
      </c>
      <c r="F76" s="17">
        <v>198.20901840354705</v>
      </c>
      <c r="G76" s="17">
        <v>65.002882751610073</v>
      </c>
      <c r="H76" s="17">
        <v>82.725486704007281</v>
      </c>
      <c r="I76" s="17">
        <v>19.571573051774635</v>
      </c>
      <c r="J76" s="17">
        <v>30.909075896155073</v>
      </c>
      <c r="K76" s="12" t="s">
        <v>682</v>
      </c>
      <c r="L76" s="1">
        <f>VLOOKUP(K76,Paramètres!$A$18:$B$21,2,FALSE)</f>
        <v>0.21</v>
      </c>
      <c r="M76" s="1">
        <f>VLOOKUP($K76,Paramètres!$A$27:$D$30,2,FALSE)</f>
        <v>0.33</v>
      </c>
      <c r="N76" s="1">
        <f>VLOOKUP($K76,Paramètres!$A$27:$D$30,3,FALSE)</f>
        <v>0.35</v>
      </c>
      <c r="O76" s="1">
        <f>VLOOKUP($K76,Paramètres!$A$27:$D$30,4,FALSE)</f>
        <v>0.32</v>
      </c>
      <c r="P76">
        <f>_xlfn.IFNA(VLOOKUP($K76,Paramètres!$A$38:$C$41,2,FALSE),"")</f>
        <v>4</v>
      </c>
      <c r="Q76">
        <f>_xlfn.IFNA(VLOOKUP($K76,Paramètres!$A$38:$C$41,3,FALSE),"")</f>
        <v>5</v>
      </c>
      <c r="R76">
        <v>104</v>
      </c>
      <c r="S76" t="b">
        <v>1</v>
      </c>
      <c r="T76">
        <v>3</v>
      </c>
      <c r="Y76" s="17"/>
      <c r="Z76" s="17"/>
      <c r="AA76" s="17"/>
      <c r="AB76" s="17"/>
    </row>
    <row r="77" spans="1:28" x14ac:dyDescent="0.3">
      <c r="A77" s="10" t="s">
        <v>197</v>
      </c>
      <c r="B77" s="10" t="s">
        <v>198</v>
      </c>
      <c r="C77" s="10" t="s">
        <v>52</v>
      </c>
      <c r="D77" s="15">
        <v>6391</v>
      </c>
      <c r="E77" s="17">
        <v>27.744354000000001</v>
      </c>
      <c r="F77" s="17">
        <v>151.3314391265553</v>
      </c>
      <c r="G77" s="17">
        <v>69.86618538040068</v>
      </c>
      <c r="H77" s="17">
        <v>51.521693003464371</v>
      </c>
      <c r="I77" s="17">
        <v>4.7354199091707025</v>
      </c>
      <c r="J77" s="17">
        <v>25.208140833519575</v>
      </c>
      <c r="K77" s="12" t="s">
        <v>682</v>
      </c>
      <c r="L77" s="1">
        <f>VLOOKUP(K77,Paramètres!$A$18:$B$21,2,FALSE)</f>
        <v>0.21</v>
      </c>
      <c r="M77" s="1">
        <f>VLOOKUP($K77,Paramètres!$A$27:$D$30,2,FALSE)</f>
        <v>0.33</v>
      </c>
      <c r="N77" s="1">
        <f>VLOOKUP($K77,Paramètres!$A$27:$D$30,3,FALSE)</f>
        <v>0.35</v>
      </c>
      <c r="O77" s="1">
        <f>VLOOKUP($K77,Paramètres!$A$27:$D$30,4,FALSE)</f>
        <v>0.32</v>
      </c>
      <c r="P77">
        <f>_xlfn.IFNA(VLOOKUP($K77,Paramètres!$A$38:$C$41,2,FALSE),"")</f>
        <v>4</v>
      </c>
      <c r="Q77">
        <f>_xlfn.IFNA(VLOOKUP($K77,Paramètres!$A$38:$C$41,3,FALSE),"")</f>
        <v>5</v>
      </c>
      <c r="R77">
        <v>87</v>
      </c>
      <c r="S77" t="b">
        <v>1</v>
      </c>
      <c r="T77">
        <v>2</v>
      </c>
      <c r="Y77" s="17"/>
      <c r="Z77" s="17"/>
      <c r="AA77" s="17"/>
      <c r="AB77" s="17"/>
    </row>
    <row r="78" spans="1:28" x14ac:dyDescent="0.3">
      <c r="A78" s="10" t="s">
        <v>199</v>
      </c>
      <c r="B78" s="10" t="s">
        <v>200</v>
      </c>
      <c r="C78" s="10" t="s">
        <v>52</v>
      </c>
      <c r="D78" s="15">
        <v>3356</v>
      </c>
      <c r="E78" s="17">
        <v>78.892585999999994</v>
      </c>
      <c r="F78" s="17">
        <v>380.5862359525695</v>
      </c>
      <c r="G78" s="17">
        <v>310.45172066185063</v>
      </c>
      <c r="H78" s="17">
        <v>47.578665990302163</v>
      </c>
      <c r="I78" s="17">
        <v>22.5558493004167</v>
      </c>
      <c r="J78" s="17">
        <v>0</v>
      </c>
      <c r="K78" s="12" t="s">
        <v>682</v>
      </c>
      <c r="L78" s="1">
        <f>VLOOKUP(K78,Paramètres!$A$18:$B$21,2,FALSE)</f>
        <v>0.21</v>
      </c>
      <c r="M78" s="1">
        <f>VLOOKUP($K78,Paramètres!$A$27:$D$30,2,FALSE)</f>
        <v>0.33</v>
      </c>
      <c r="N78" s="1">
        <f>VLOOKUP($K78,Paramètres!$A$27:$D$30,3,FALSE)</f>
        <v>0.35</v>
      </c>
      <c r="O78" s="1">
        <f>VLOOKUP($K78,Paramètres!$A$27:$D$30,4,FALSE)</f>
        <v>0.32</v>
      </c>
      <c r="P78">
        <f>_xlfn.IFNA(VLOOKUP($K78,Paramètres!$A$38:$C$41,2,FALSE),"")</f>
        <v>4</v>
      </c>
      <c r="Q78">
        <f>_xlfn.IFNA(VLOOKUP($K78,Paramètres!$A$38:$C$41,3,FALSE),"")</f>
        <v>5</v>
      </c>
      <c r="R78">
        <v>105</v>
      </c>
      <c r="S78" t="b">
        <v>0</v>
      </c>
      <c r="T78">
        <v>3</v>
      </c>
      <c r="Y78" s="17"/>
      <c r="Z78" s="17"/>
      <c r="AA78" s="17"/>
      <c r="AB78" s="17"/>
    </row>
    <row r="79" spans="1:28" x14ac:dyDescent="0.3">
      <c r="A79" s="10" t="s">
        <v>201</v>
      </c>
      <c r="B79" s="10" t="s">
        <v>202</v>
      </c>
      <c r="C79" s="10" t="s">
        <v>52</v>
      </c>
      <c r="D79" s="15">
        <v>9983</v>
      </c>
      <c r="E79" s="17">
        <v>44.543359000000002</v>
      </c>
      <c r="F79" s="17">
        <v>189.53240115726675</v>
      </c>
      <c r="G79" s="17">
        <v>106.29205554670631</v>
      </c>
      <c r="H79" s="17">
        <v>12.300282316874451</v>
      </c>
      <c r="I79" s="17">
        <v>30.277768224236649</v>
      </c>
      <c r="J79" s="17">
        <v>40.66229506944935</v>
      </c>
      <c r="K79" s="12" t="s">
        <v>682</v>
      </c>
      <c r="L79" s="1">
        <f>VLOOKUP(K79,Paramètres!$A$18:$B$21,2,FALSE)</f>
        <v>0.21</v>
      </c>
      <c r="M79" s="1">
        <f>VLOOKUP($K79,Paramètres!$A$27:$D$30,2,FALSE)</f>
        <v>0.33</v>
      </c>
      <c r="N79" s="1">
        <f>VLOOKUP($K79,Paramètres!$A$27:$D$30,3,FALSE)</f>
        <v>0.35</v>
      </c>
      <c r="O79" s="1">
        <f>VLOOKUP($K79,Paramètres!$A$27:$D$30,4,FALSE)</f>
        <v>0.32</v>
      </c>
      <c r="P79">
        <f>_xlfn.IFNA(VLOOKUP($K79,Paramètres!$A$38:$C$41,2,FALSE),"")</f>
        <v>4</v>
      </c>
      <c r="Q79">
        <f>_xlfn.IFNA(VLOOKUP($K79,Paramètres!$A$38:$C$41,3,FALSE),"")</f>
        <v>5</v>
      </c>
      <c r="R79">
        <v>131</v>
      </c>
      <c r="S79" t="b">
        <v>1</v>
      </c>
      <c r="T79">
        <v>4</v>
      </c>
      <c r="Y79" s="17"/>
      <c r="Z79" s="17"/>
      <c r="AA79" s="17"/>
      <c r="AB79" s="17"/>
    </row>
    <row r="80" spans="1:28" x14ac:dyDescent="0.3">
      <c r="A80" s="10" t="s">
        <v>203</v>
      </c>
      <c r="B80" s="10" t="s">
        <v>204</v>
      </c>
      <c r="C80" s="10" t="s">
        <v>52</v>
      </c>
      <c r="D80" s="15">
        <v>12794</v>
      </c>
      <c r="E80" s="17">
        <v>34.131818000000003</v>
      </c>
      <c r="F80" s="17">
        <v>268.57131039775749</v>
      </c>
      <c r="G80" s="17">
        <v>84.134480405964212</v>
      </c>
      <c r="H80" s="17">
        <v>56.847201728524468</v>
      </c>
      <c r="I80" s="17">
        <v>80.742399909668649</v>
      </c>
      <c r="J80" s="17">
        <v>46.847228353600173</v>
      </c>
      <c r="K80" s="12" t="s">
        <v>682</v>
      </c>
      <c r="L80" s="1">
        <f>VLOOKUP(K80,Paramètres!$A$18:$B$21,2,FALSE)</f>
        <v>0.21</v>
      </c>
      <c r="M80" s="1">
        <f>VLOOKUP($K80,Paramètres!$A$27:$D$30,2,FALSE)</f>
        <v>0.33</v>
      </c>
      <c r="N80" s="1">
        <f>VLOOKUP($K80,Paramètres!$A$27:$D$30,3,FALSE)</f>
        <v>0.35</v>
      </c>
      <c r="O80" s="1">
        <f>VLOOKUP($K80,Paramètres!$A$27:$D$30,4,FALSE)</f>
        <v>0.32</v>
      </c>
      <c r="P80">
        <f>_xlfn.IFNA(VLOOKUP($K80,Paramètres!$A$38:$C$41,2,FALSE),"")</f>
        <v>4</v>
      </c>
      <c r="Q80">
        <f>_xlfn.IFNA(VLOOKUP($K80,Paramètres!$A$38:$C$41,3,FALSE),"")</f>
        <v>5</v>
      </c>
      <c r="R80">
        <v>176</v>
      </c>
      <c r="S80" t="b">
        <v>1</v>
      </c>
      <c r="T80">
        <v>5</v>
      </c>
      <c r="Y80" s="17"/>
      <c r="Z80" s="17"/>
      <c r="AA80" s="17"/>
      <c r="AB80" s="17"/>
    </row>
    <row r="81" spans="1:28" x14ac:dyDescent="0.3">
      <c r="A81" s="10" t="s">
        <v>205</v>
      </c>
      <c r="B81" s="10" t="s">
        <v>206</v>
      </c>
      <c r="C81" s="10" t="s">
        <v>52</v>
      </c>
      <c r="D81" s="15">
        <v>10878</v>
      </c>
      <c r="E81" s="17">
        <v>32.081878000000003</v>
      </c>
      <c r="F81" s="17">
        <v>178.34480991265042</v>
      </c>
      <c r="G81" s="17">
        <v>49.984356681272608</v>
      </c>
      <c r="H81" s="17">
        <v>69.487114350848202</v>
      </c>
      <c r="I81" s="17">
        <v>14.380392283712993</v>
      </c>
      <c r="J81" s="17">
        <v>44.492946596816616</v>
      </c>
      <c r="K81" s="12" t="s">
        <v>682</v>
      </c>
      <c r="L81" s="1">
        <f>VLOOKUP(K81,Paramètres!$A$18:$B$21,2,FALSE)</f>
        <v>0.21</v>
      </c>
      <c r="M81" s="1">
        <f>VLOOKUP($K81,Paramètres!$A$27:$D$30,2,FALSE)</f>
        <v>0.33</v>
      </c>
      <c r="N81" s="1">
        <f>VLOOKUP($K81,Paramètres!$A$27:$D$30,3,FALSE)</f>
        <v>0.35</v>
      </c>
      <c r="O81" s="1">
        <f>VLOOKUP($K81,Paramètres!$A$27:$D$30,4,FALSE)</f>
        <v>0.32</v>
      </c>
      <c r="P81">
        <f>_xlfn.IFNA(VLOOKUP($K81,Paramètres!$A$38:$C$41,2,FALSE),"")</f>
        <v>4</v>
      </c>
      <c r="Q81">
        <f>_xlfn.IFNA(VLOOKUP($K81,Paramètres!$A$38:$C$41,3,FALSE),"")</f>
        <v>5</v>
      </c>
      <c r="R81">
        <v>199</v>
      </c>
      <c r="S81" t="b">
        <v>1</v>
      </c>
      <c r="T81">
        <v>5</v>
      </c>
      <c r="Y81" s="17"/>
      <c r="Z81" s="17"/>
      <c r="AA81" s="17"/>
      <c r="AB81" s="17"/>
    </row>
    <row r="82" spans="1:28" x14ac:dyDescent="0.3">
      <c r="A82" s="10" t="s">
        <v>207</v>
      </c>
      <c r="B82" s="10" t="s">
        <v>208</v>
      </c>
      <c r="C82" s="10" t="s">
        <v>52</v>
      </c>
      <c r="D82" s="15">
        <v>7947</v>
      </c>
      <c r="E82" s="17">
        <v>73.293105999999995</v>
      </c>
      <c r="F82" s="17">
        <v>264.00134095965234</v>
      </c>
      <c r="G82" s="17">
        <v>166.16351370178933</v>
      </c>
      <c r="H82" s="17">
        <v>37.787906685762316</v>
      </c>
      <c r="I82" s="17">
        <v>35.616879703162461</v>
      </c>
      <c r="J82" s="17">
        <v>24.433040868938285</v>
      </c>
      <c r="K82" s="12" t="s">
        <v>682</v>
      </c>
      <c r="L82" s="1">
        <f>VLOOKUP(K82,Paramètres!$A$18:$B$21,2,FALSE)</f>
        <v>0.21</v>
      </c>
      <c r="M82" s="1">
        <f>VLOOKUP($K82,Paramètres!$A$27:$D$30,2,FALSE)</f>
        <v>0.33</v>
      </c>
      <c r="N82" s="1">
        <f>VLOOKUP($K82,Paramètres!$A$27:$D$30,3,FALSE)</f>
        <v>0.35</v>
      </c>
      <c r="O82" s="1">
        <f>VLOOKUP($K82,Paramètres!$A$27:$D$30,4,FALSE)</f>
        <v>0.32</v>
      </c>
      <c r="P82">
        <f>_xlfn.IFNA(VLOOKUP($K82,Paramètres!$A$38:$C$41,2,FALSE),"")</f>
        <v>4</v>
      </c>
      <c r="Q82">
        <f>_xlfn.IFNA(VLOOKUP($K82,Paramètres!$A$38:$C$41,3,FALSE),"")</f>
        <v>5</v>
      </c>
      <c r="R82">
        <v>94</v>
      </c>
      <c r="S82" t="b">
        <v>1</v>
      </c>
      <c r="T82">
        <v>3</v>
      </c>
      <c r="Y82" s="17"/>
      <c r="Z82" s="17"/>
      <c r="AA82" s="17"/>
      <c r="AB82" s="17"/>
    </row>
    <row r="83" spans="1:28" x14ac:dyDescent="0.3">
      <c r="A83" s="10" t="s">
        <v>209</v>
      </c>
      <c r="B83" s="10" t="s">
        <v>210</v>
      </c>
      <c r="C83" s="10" t="s">
        <v>52</v>
      </c>
      <c r="D83" s="15">
        <v>6035</v>
      </c>
      <c r="E83" s="17">
        <v>79.435196000000005</v>
      </c>
      <c r="F83" s="17">
        <v>387.35911481589653</v>
      </c>
      <c r="G83" s="17">
        <v>331.54733701649383</v>
      </c>
      <c r="H83" s="17">
        <v>12.694612770404659</v>
      </c>
      <c r="I83" s="17">
        <v>17.097547496835038</v>
      </c>
      <c r="J83" s="17">
        <v>26.019617532163</v>
      </c>
      <c r="K83" s="12" t="s">
        <v>682</v>
      </c>
      <c r="L83" s="1">
        <f>VLOOKUP(K83,Paramètres!$A$18:$B$21,2,FALSE)</f>
        <v>0.21</v>
      </c>
      <c r="M83" s="1">
        <f>VLOOKUP($K83,Paramètres!$A$27:$D$30,2,FALSE)</f>
        <v>0.33</v>
      </c>
      <c r="N83" s="1">
        <f>VLOOKUP($K83,Paramètres!$A$27:$D$30,3,FALSE)</f>
        <v>0.35</v>
      </c>
      <c r="O83" s="1">
        <f>VLOOKUP($K83,Paramètres!$A$27:$D$30,4,FALSE)</f>
        <v>0.32</v>
      </c>
      <c r="P83">
        <f>_xlfn.IFNA(VLOOKUP($K83,Paramètres!$A$38:$C$41,2,FALSE),"")</f>
        <v>4</v>
      </c>
      <c r="Q83">
        <f>_xlfn.IFNA(VLOOKUP($K83,Paramètres!$A$38:$C$41,3,FALSE),"")</f>
        <v>5</v>
      </c>
      <c r="R83">
        <v>102</v>
      </c>
      <c r="S83" t="b">
        <v>0</v>
      </c>
      <c r="T83">
        <v>3</v>
      </c>
      <c r="Y83" s="17"/>
      <c r="Z83" s="17"/>
      <c r="AA83" s="17"/>
      <c r="AB83" s="17"/>
    </row>
    <row r="84" spans="1:28" x14ac:dyDescent="0.3">
      <c r="A84" s="10" t="s">
        <v>211</v>
      </c>
      <c r="B84" s="10" t="s">
        <v>212</v>
      </c>
      <c r="C84" s="10" t="s">
        <v>52</v>
      </c>
      <c r="D84" s="15">
        <v>20053</v>
      </c>
      <c r="E84" s="17">
        <v>95.996506999999994</v>
      </c>
      <c r="F84" s="17">
        <v>412.3818638514087</v>
      </c>
      <c r="G84" s="17">
        <v>222.72328046987633</v>
      </c>
      <c r="H84" s="17">
        <v>79.991573496958097</v>
      </c>
      <c r="I84" s="17">
        <v>53.161206541560709</v>
      </c>
      <c r="J84" s="17">
        <v>56.50580334301354</v>
      </c>
      <c r="K84" s="12" t="s">
        <v>681</v>
      </c>
      <c r="L84" s="1">
        <f>VLOOKUP(K84,Paramètres!$A$18:$B$21,2,FALSE)</f>
        <v>0.34</v>
      </c>
      <c r="M84" s="1">
        <f>VLOOKUP($K84,Paramètres!$A$27:$D$30,2,FALSE)</f>
        <v>0.26</v>
      </c>
      <c r="N84" s="1">
        <f>VLOOKUP($K84,Paramètres!$A$27:$D$30,3,FALSE)</f>
        <v>0.33</v>
      </c>
      <c r="O84" s="1">
        <f>VLOOKUP($K84,Paramètres!$A$27:$D$30,4,FALSE)</f>
        <v>0.41</v>
      </c>
      <c r="P84">
        <f>_xlfn.IFNA(VLOOKUP($K84,Paramètres!$A$38:$C$41,2,FALSE),"")</f>
        <v>3</v>
      </c>
      <c r="Q84">
        <f>_xlfn.IFNA(VLOOKUP($K84,Paramètres!$A$38:$C$41,3,FALSE),"")</f>
        <v>5</v>
      </c>
      <c r="R84">
        <v>258</v>
      </c>
      <c r="S84" t="b">
        <v>0</v>
      </c>
      <c r="T84">
        <v>7</v>
      </c>
      <c r="Y84" s="17"/>
      <c r="Z84" s="17"/>
      <c r="AA84" s="17"/>
      <c r="AB84" s="17"/>
    </row>
    <row r="85" spans="1:28" x14ac:dyDescent="0.3">
      <c r="A85" s="10" t="s">
        <v>213</v>
      </c>
      <c r="B85" s="10" t="s">
        <v>214</v>
      </c>
      <c r="C85" s="10" t="s">
        <v>52</v>
      </c>
      <c r="D85" s="15">
        <v>4192</v>
      </c>
      <c r="E85" s="17">
        <v>28.526501</v>
      </c>
      <c r="F85" s="17">
        <v>106.40107899511663</v>
      </c>
      <c r="G85" s="17">
        <v>68.787323966338732</v>
      </c>
      <c r="H85" s="17">
        <v>0</v>
      </c>
      <c r="I85" s="17">
        <v>31.615885689664928</v>
      </c>
      <c r="J85" s="17">
        <v>5.9978693391129827</v>
      </c>
      <c r="K85" s="12" t="s">
        <v>682</v>
      </c>
      <c r="L85" s="1">
        <f>VLOOKUP(K85,Paramètres!$A$18:$B$21,2,FALSE)</f>
        <v>0.21</v>
      </c>
      <c r="M85" s="1">
        <f>VLOOKUP($K85,Paramètres!$A$27:$D$30,2,FALSE)</f>
        <v>0.33</v>
      </c>
      <c r="N85" s="1">
        <f>VLOOKUP($K85,Paramètres!$A$27:$D$30,3,FALSE)</f>
        <v>0.35</v>
      </c>
      <c r="O85" s="1">
        <f>VLOOKUP($K85,Paramètres!$A$27:$D$30,4,FALSE)</f>
        <v>0.32</v>
      </c>
      <c r="P85">
        <f>_xlfn.IFNA(VLOOKUP($K85,Paramètres!$A$38:$C$41,2,FALSE),"")</f>
        <v>4</v>
      </c>
      <c r="Q85">
        <f>_xlfn.IFNA(VLOOKUP($K85,Paramètres!$A$38:$C$41,3,FALSE),"")</f>
        <v>5</v>
      </c>
      <c r="R85">
        <v>78</v>
      </c>
      <c r="S85" t="b">
        <v>0</v>
      </c>
      <c r="T85">
        <v>2</v>
      </c>
      <c r="Y85" s="17"/>
      <c r="Z85" s="17"/>
      <c r="AA85" s="17"/>
      <c r="AB85" s="17"/>
    </row>
    <row r="86" spans="1:28" x14ac:dyDescent="0.3">
      <c r="A86" s="10" t="s">
        <v>215</v>
      </c>
      <c r="B86" s="10" t="s">
        <v>216</v>
      </c>
      <c r="C86" s="10" t="s">
        <v>52</v>
      </c>
      <c r="D86" s="15">
        <v>11471</v>
      </c>
      <c r="E86" s="17">
        <v>10.366908</v>
      </c>
      <c r="F86" s="17">
        <v>88.91034243703497</v>
      </c>
      <c r="G86" s="17">
        <v>22.530480845954422</v>
      </c>
      <c r="H86" s="17">
        <v>15.919735274908906</v>
      </c>
      <c r="I86" s="17">
        <v>12.383682800091444</v>
      </c>
      <c r="J86" s="17">
        <v>38.076443516080197</v>
      </c>
      <c r="K86" s="12" t="s">
        <v>681</v>
      </c>
      <c r="L86" s="1">
        <f>VLOOKUP(K86,Paramètres!$A$18:$B$21,2,FALSE)</f>
        <v>0.34</v>
      </c>
      <c r="M86" s="1">
        <f>VLOOKUP($K86,Paramètres!$A$27:$D$30,2,FALSE)</f>
        <v>0.26</v>
      </c>
      <c r="N86" s="1">
        <f>VLOOKUP($K86,Paramètres!$A$27:$D$30,3,FALSE)</f>
        <v>0.33</v>
      </c>
      <c r="O86" s="1">
        <f>VLOOKUP($K86,Paramètres!$A$27:$D$30,4,FALSE)</f>
        <v>0.41</v>
      </c>
      <c r="P86">
        <f>_xlfn.IFNA(VLOOKUP($K86,Paramètres!$A$38:$C$41,2,FALSE),"")</f>
        <v>3</v>
      </c>
      <c r="Q86">
        <f>_xlfn.IFNA(VLOOKUP($K86,Paramètres!$A$38:$C$41,3,FALSE),"")</f>
        <v>5</v>
      </c>
      <c r="R86">
        <v>66</v>
      </c>
      <c r="S86" t="b">
        <v>1</v>
      </c>
      <c r="T86">
        <v>2</v>
      </c>
      <c r="Y86" s="17"/>
      <c r="Z86" s="17"/>
      <c r="AA86" s="17"/>
      <c r="AB86" s="17"/>
    </row>
    <row r="87" spans="1:28" x14ac:dyDescent="0.3">
      <c r="A87" s="10" t="s">
        <v>217</v>
      </c>
      <c r="B87" s="10" t="s">
        <v>218</v>
      </c>
      <c r="C87" s="10" t="s">
        <v>52</v>
      </c>
      <c r="D87" s="15">
        <v>2512</v>
      </c>
      <c r="E87" s="17">
        <v>74.787470999999996</v>
      </c>
      <c r="F87" s="17">
        <v>358.63495052800329</v>
      </c>
      <c r="G87" s="17">
        <v>330.63652657364219</v>
      </c>
      <c r="H87" s="17">
        <v>3.5620896927051842</v>
      </c>
      <c r="I87" s="17">
        <v>24.436334261655979</v>
      </c>
      <c r="J87" s="17">
        <v>0</v>
      </c>
      <c r="K87" s="12" t="s">
        <v>682</v>
      </c>
      <c r="L87" s="1">
        <f>VLOOKUP(K87,Paramètres!$A$18:$B$21,2,FALSE)</f>
        <v>0.21</v>
      </c>
      <c r="M87" s="1">
        <f>VLOOKUP($K87,Paramètres!$A$27:$D$30,2,FALSE)</f>
        <v>0.33</v>
      </c>
      <c r="N87" s="1">
        <f>VLOOKUP($K87,Paramètres!$A$27:$D$30,3,FALSE)</f>
        <v>0.35</v>
      </c>
      <c r="O87" s="1">
        <f>VLOOKUP($K87,Paramètres!$A$27:$D$30,4,FALSE)</f>
        <v>0.32</v>
      </c>
      <c r="P87">
        <f>_xlfn.IFNA(VLOOKUP($K87,Paramètres!$A$38:$C$41,2,FALSE),"")</f>
        <v>4</v>
      </c>
      <c r="Q87">
        <f>_xlfn.IFNA(VLOOKUP($K87,Paramètres!$A$38:$C$41,3,FALSE),"")</f>
        <v>5</v>
      </c>
      <c r="R87">
        <v>36</v>
      </c>
      <c r="S87" t="b">
        <v>1</v>
      </c>
      <c r="T87">
        <v>1</v>
      </c>
      <c r="Y87" s="17"/>
      <c r="Z87" s="17"/>
      <c r="AA87" s="17"/>
      <c r="AB87" s="17"/>
    </row>
    <row r="88" spans="1:28" x14ac:dyDescent="0.3">
      <c r="A88" s="10" t="s">
        <v>219</v>
      </c>
      <c r="B88" s="10" t="s">
        <v>220</v>
      </c>
      <c r="C88" s="10" t="s">
        <v>52</v>
      </c>
      <c r="D88" s="15">
        <v>8175</v>
      </c>
      <c r="E88" s="17">
        <v>65.821094000000002</v>
      </c>
      <c r="F88" s="17">
        <v>283.57650451856256</v>
      </c>
      <c r="G88" s="17">
        <v>209.27534472237036</v>
      </c>
      <c r="H88" s="17">
        <v>12.20733595059469</v>
      </c>
      <c r="I88" s="17">
        <v>44.781591086952737</v>
      </c>
      <c r="J88" s="17">
        <v>17.312232758644825</v>
      </c>
      <c r="K88" s="12" t="s">
        <v>682</v>
      </c>
      <c r="L88" s="1">
        <f>VLOOKUP(K88,Paramètres!$A$18:$B$21,2,FALSE)</f>
        <v>0.21</v>
      </c>
      <c r="M88" s="1">
        <f>VLOOKUP($K88,Paramètres!$A$27:$D$30,2,FALSE)</f>
        <v>0.33</v>
      </c>
      <c r="N88" s="1">
        <f>VLOOKUP($K88,Paramètres!$A$27:$D$30,3,FALSE)</f>
        <v>0.35</v>
      </c>
      <c r="O88" s="1">
        <f>VLOOKUP($K88,Paramètres!$A$27:$D$30,4,FALSE)</f>
        <v>0.32</v>
      </c>
      <c r="P88">
        <f>_xlfn.IFNA(VLOOKUP($K88,Paramètres!$A$38:$C$41,2,FALSE),"")</f>
        <v>4</v>
      </c>
      <c r="Q88">
        <f>_xlfn.IFNA(VLOOKUP($K88,Paramètres!$A$38:$C$41,3,FALSE),"")</f>
        <v>5</v>
      </c>
      <c r="R88">
        <v>135</v>
      </c>
      <c r="S88" t="b">
        <v>0</v>
      </c>
      <c r="T88">
        <v>4</v>
      </c>
      <c r="Y88" s="17"/>
      <c r="Z88" s="17"/>
      <c r="AA88" s="17"/>
      <c r="AB88" s="17"/>
    </row>
    <row r="89" spans="1:28" x14ac:dyDescent="0.3">
      <c r="A89" s="10" t="s">
        <v>729</v>
      </c>
      <c r="B89" s="10" t="s">
        <v>221</v>
      </c>
      <c r="C89" s="10" t="s">
        <v>52</v>
      </c>
      <c r="D89" s="15">
        <v>5156</v>
      </c>
      <c r="E89" s="17">
        <v>57.063217999999999</v>
      </c>
      <c r="F89" s="17">
        <v>310.19365290195128</v>
      </c>
      <c r="G89" s="17">
        <v>232.51005960868213</v>
      </c>
      <c r="H89" s="17">
        <v>27.706769957806809</v>
      </c>
      <c r="I89" s="17">
        <v>49.976823335462335</v>
      </c>
      <c r="J89" s="17">
        <v>0</v>
      </c>
      <c r="K89" s="12" t="s">
        <v>682</v>
      </c>
      <c r="L89" s="1">
        <f>VLOOKUP(K89,Paramètres!$A$18:$B$21,2,FALSE)</f>
        <v>0.21</v>
      </c>
      <c r="M89" s="1">
        <f>VLOOKUP($K89,Paramètres!$A$27:$D$30,2,FALSE)</f>
        <v>0.33</v>
      </c>
      <c r="N89" s="1">
        <f>VLOOKUP($K89,Paramètres!$A$27:$D$30,3,FALSE)</f>
        <v>0.35</v>
      </c>
      <c r="O89" s="1">
        <f>VLOOKUP($K89,Paramètres!$A$27:$D$30,4,FALSE)</f>
        <v>0.32</v>
      </c>
      <c r="P89">
        <f>_xlfn.IFNA(VLOOKUP($K89,Paramètres!$A$38:$C$41,2,FALSE),"")</f>
        <v>4</v>
      </c>
      <c r="Q89">
        <f>_xlfn.IFNA(VLOOKUP($K89,Paramètres!$A$38:$C$41,3,FALSE),"")</f>
        <v>5</v>
      </c>
      <c r="R89">
        <v>123</v>
      </c>
      <c r="S89" t="b">
        <v>1</v>
      </c>
      <c r="T89">
        <v>3</v>
      </c>
      <c r="Y89" s="17"/>
      <c r="Z89" s="17"/>
      <c r="AA89" s="17"/>
      <c r="AB89" s="17"/>
    </row>
    <row r="90" spans="1:28" x14ac:dyDescent="0.3">
      <c r="A90" s="10" t="s">
        <v>222</v>
      </c>
      <c r="B90" s="10" t="s">
        <v>223</v>
      </c>
      <c r="C90" s="10" t="s">
        <v>52</v>
      </c>
      <c r="D90" s="15">
        <v>3399</v>
      </c>
      <c r="E90" s="17">
        <v>19.452362000000001</v>
      </c>
      <c r="F90" s="17">
        <v>82.760237149827503</v>
      </c>
      <c r="G90" s="17">
        <v>35.47531934639975</v>
      </c>
      <c r="H90" s="17">
        <v>27.296690213886684</v>
      </c>
      <c r="I90" s="17">
        <v>0.63717647263442645</v>
      </c>
      <c r="J90" s="17">
        <v>19.351051116906632</v>
      </c>
      <c r="K90" s="12" t="s">
        <v>682</v>
      </c>
      <c r="L90" s="1">
        <f>VLOOKUP(K90,Paramètres!$A$18:$B$21,2,FALSE)</f>
        <v>0.21</v>
      </c>
      <c r="M90" s="1">
        <f>VLOOKUP($K90,Paramètres!$A$27:$D$30,2,FALSE)</f>
        <v>0.33</v>
      </c>
      <c r="N90" s="1">
        <f>VLOOKUP($K90,Paramètres!$A$27:$D$30,3,FALSE)</f>
        <v>0.35</v>
      </c>
      <c r="O90" s="1">
        <f>VLOOKUP($K90,Paramètres!$A$27:$D$30,4,FALSE)</f>
        <v>0.32</v>
      </c>
      <c r="P90">
        <f>_xlfn.IFNA(VLOOKUP($K90,Paramètres!$A$38:$C$41,2,FALSE),"")</f>
        <v>4</v>
      </c>
      <c r="Q90">
        <f>_xlfn.IFNA(VLOOKUP($K90,Paramètres!$A$38:$C$41,3,FALSE),"")</f>
        <v>5</v>
      </c>
      <c r="R90">
        <v>41</v>
      </c>
      <c r="S90" t="b">
        <v>1</v>
      </c>
      <c r="T90">
        <v>1</v>
      </c>
      <c r="Y90" s="17"/>
      <c r="Z90" s="17"/>
      <c r="AA90" s="17"/>
      <c r="AB90" s="17"/>
    </row>
    <row r="91" spans="1:28" x14ac:dyDescent="0.3">
      <c r="A91" s="10" t="s">
        <v>224</v>
      </c>
      <c r="B91" s="10" t="s">
        <v>225</v>
      </c>
      <c r="C91" s="10" t="s">
        <v>52</v>
      </c>
      <c r="D91" s="15">
        <v>27045</v>
      </c>
      <c r="E91" s="17">
        <v>36.567684</v>
      </c>
      <c r="F91" s="17">
        <v>310.75236289428096</v>
      </c>
      <c r="G91" s="17">
        <v>80.460170971629111</v>
      </c>
      <c r="H91" s="17">
        <v>75.028270291868807</v>
      </c>
      <c r="I91" s="17">
        <v>67.34532316462132</v>
      </c>
      <c r="J91" s="17">
        <v>87.918598466161725</v>
      </c>
      <c r="K91" s="12" t="s">
        <v>681</v>
      </c>
      <c r="L91" s="1">
        <f>VLOOKUP(K91,Paramètres!$A$18:$B$21,2,FALSE)</f>
        <v>0.34</v>
      </c>
      <c r="M91" s="1">
        <f>VLOOKUP($K91,Paramètres!$A$27:$D$30,2,FALSE)</f>
        <v>0.26</v>
      </c>
      <c r="N91" s="1">
        <f>VLOOKUP($K91,Paramètres!$A$27:$D$30,3,FALSE)</f>
        <v>0.33</v>
      </c>
      <c r="O91" s="1">
        <f>VLOOKUP($K91,Paramètres!$A$27:$D$30,4,FALSE)</f>
        <v>0.41</v>
      </c>
      <c r="P91">
        <f>_xlfn.IFNA(VLOOKUP($K91,Paramètres!$A$38:$C$41,2,FALSE),"")</f>
        <v>3</v>
      </c>
      <c r="Q91">
        <f>_xlfn.IFNA(VLOOKUP($K91,Paramètres!$A$38:$C$41,3,FALSE),"")</f>
        <v>5</v>
      </c>
      <c r="R91">
        <v>258</v>
      </c>
      <c r="S91" t="b">
        <v>0</v>
      </c>
      <c r="T91">
        <v>7</v>
      </c>
      <c r="Y91" s="17"/>
      <c r="Z91" s="17"/>
      <c r="AA91" s="17"/>
      <c r="AB91" s="17"/>
    </row>
    <row r="92" spans="1:28" x14ac:dyDescent="0.3">
      <c r="A92" s="10" t="s">
        <v>226</v>
      </c>
      <c r="B92" s="10" t="s">
        <v>227</v>
      </c>
      <c r="C92" s="10" t="s">
        <v>52</v>
      </c>
      <c r="D92" s="15">
        <v>16374</v>
      </c>
      <c r="E92" s="17">
        <v>13.683740999999999</v>
      </c>
      <c r="F92" s="17">
        <v>117.35300705021244</v>
      </c>
      <c r="G92" s="17">
        <v>0.89291307893656369</v>
      </c>
      <c r="H92" s="17">
        <v>32.649849367693463</v>
      </c>
      <c r="I92" s="17">
        <v>33.274216804120975</v>
      </c>
      <c r="J92" s="17">
        <v>50.536027799461451</v>
      </c>
      <c r="K92" s="12" t="s">
        <v>681</v>
      </c>
      <c r="L92" s="1">
        <f>VLOOKUP(K92,Paramètres!$A$18:$B$21,2,FALSE)</f>
        <v>0.34</v>
      </c>
      <c r="M92" s="1">
        <f>VLOOKUP($K92,Paramètres!$A$27:$D$30,2,FALSE)</f>
        <v>0.26</v>
      </c>
      <c r="N92" s="1">
        <f>VLOOKUP($K92,Paramètres!$A$27:$D$30,3,FALSE)</f>
        <v>0.33</v>
      </c>
      <c r="O92" s="1">
        <f>VLOOKUP($K92,Paramètres!$A$27:$D$30,4,FALSE)</f>
        <v>0.41</v>
      </c>
      <c r="P92">
        <f>_xlfn.IFNA(VLOOKUP($K92,Paramètres!$A$38:$C$41,2,FALSE),"")</f>
        <v>3</v>
      </c>
      <c r="Q92">
        <f>_xlfn.IFNA(VLOOKUP($K92,Paramètres!$A$38:$C$41,3,FALSE),"")</f>
        <v>5</v>
      </c>
      <c r="R92">
        <v>149</v>
      </c>
      <c r="S92" t="b">
        <v>0</v>
      </c>
      <c r="T92">
        <v>4</v>
      </c>
      <c r="Y92" s="17"/>
      <c r="Z92" s="17"/>
      <c r="AA92" s="17"/>
      <c r="AB92" s="17"/>
    </row>
    <row r="93" spans="1:28" x14ac:dyDescent="0.3">
      <c r="A93" s="10" t="s">
        <v>228</v>
      </c>
      <c r="B93" s="10" t="s">
        <v>229</v>
      </c>
      <c r="C93" s="10" t="s">
        <v>52</v>
      </c>
      <c r="D93" s="15">
        <v>22922</v>
      </c>
      <c r="E93" s="17">
        <v>59.474212999999999</v>
      </c>
      <c r="F93" s="17">
        <v>319.17504480710159</v>
      </c>
      <c r="G93" s="17">
        <v>171.57735988149108</v>
      </c>
      <c r="H93" s="17">
        <v>45.563817024240237</v>
      </c>
      <c r="I93" s="17">
        <v>54.032299260503919</v>
      </c>
      <c r="J93" s="17">
        <v>48.001568640866324</v>
      </c>
      <c r="K93" s="12" t="s">
        <v>681</v>
      </c>
      <c r="L93" s="1">
        <f>VLOOKUP(K93,Paramètres!$A$18:$B$21,2,FALSE)</f>
        <v>0.34</v>
      </c>
      <c r="M93" s="1">
        <f>VLOOKUP($K93,Paramètres!$A$27:$D$30,2,FALSE)</f>
        <v>0.26</v>
      </c>
      <c r="N93" s="1">
        <f>VLOOKUP($K93,Paramètres!$A$27:$D$30,3,FALSE)</f>
        <v>0.33</v>
      </c>
      <c r="O93" s="1">
        <f>VLOOKUP($K93,Paramètres!$A$27:$D$30,4,FALSE)</f>
        <v>0.41</v>
      </c>
      <c r="P93">
        <f>_xlfn.IFNA(VLOOKUP($K93,Paramètres!$A$38:$C$41,2,FALSE),"")</f>
        <v>3</v>
      </c>
      <c r="Q93">
        <f>_xlfn.IFNA(VLOOKUP($K93,Paramètres!$A$38:$C$41,3,FALSE),"")</f>
        <v>5</v>
      </c>
      <c r="R93">
        <v>265</v>
      </c>
      <c r="S93" t="b">
        <v>0</v>
      </c>
      <c r="T93">
        <v>7</v>
      </c>
      <c r="Y93" s="17"/>
      <c r="Z93" s="17"/>
      <c r="AA93" s="17"/>
      <c r="AB93" s="17"/>
    </row>
    <row r="94" spans="1:28" x14ac:dyDescent="0.3">
      <c r="A94" s="10" t="s">
        <v>230</v>
      </c>
      <c r="B94" s="10" t="s">
        <v>231</v>
      </c>
      <c r="C94" s="10" t="s">
        <v>52</v>
      </c>
      <c r="D94" s="15">
        <v>3441</v>
      </c>
      <c r="E94" s="17">
        <v>23.276026000000002</v>
      </c>
      <c r="F94" s="17">
        <v>107.19385818457256</v>
      </c>
      <c r="G94" s="17">
        <v>31.667490129693611</v>
      </c>
      <c r="H94" s="17">
        <v>56.531954659710983</v>
      </c>
      <c r="I94" s="17">
        <v>18.994413395167967</v>
      </c>
      <c r="J94" s="17">
        <v>0</v>
      </c>
      <c r="K94" s="12" t="s">
        <v>682</v>
      </c>
      <c r="L94" s="1">
        <f>VLOOKUP(K94,Paramètres!$A$18:$B$21,2,FALSE)</f>
        <v>0.21</v>
      </c>
      <c r="M94" s="1">
        <f>VLOOKUP($K94,Paramètres!$A$27:$D$30,2,FALSE)</f>
        <v>0.33</v>
      </c>
      <c r="N94" s="1">
        <f>VLOOKUP($K94,Paramètres!$A$27:$D$30,3,FALSE)</f>
        <v>0.35</v>
      </c>
      <c r="O94" s="1">
        <f>VLOOKUP($K94,Paramètres!$A$27:$D$30,4,FALSE)</f>
        <v>0.32</v>
      </c>
      <c r="P94">
        <f>_xlfn.IFNA(VLOOKUP($K94,Paramètres!$A$38:$C$41,2,FALSE),"")</f>
        <v>4</v>
      </c>
      <c r="Q94">
        <f>_xlfn.IFNA(VLOOKUP($K94,Paramètres!$A$38:$C$41,3,FALSE),"")</f>
        <v>5</v>
      </c>
      <c r="R94">
        <v>89</v>
      </c>
      <c r="S94" t="b">
        <v>0</v>
      </c>
      <c r="T94">
        <v>2</v>
      </c>
      <c r="Y94" s="17"/>
      <c r="Z94" s="17"/>
      <c r="AA94" s="17"/>
      <c r="AB94" s="17"/>
    </row>
    <row r="95" spans="1:28" x14ac:dyDescent="0.3">
      <c r="A95" s="10" t="s">
        <v>232</v>
      </c>
      <c r="B95" s="10" t="s">
        <v>233</v>
      </c>
      <c r="C95" s="10" t="s">
        <v>52</v>
      </c>
      <c r="D95" s="15">
        <v>8083</v>
      </c>
      <c r="E95" s="17">
        <v>39.123730999999999</v>
      </c>
      <c r="F95" s="17">
        <v>198.45662207481789</v>
      </c>
      <c r="G95" s="17">
        <v>105.39482260729856</v>
      </c>
      <c r="H95" s="17">
        <v>32.647739682025517</v>
      </c>
      <c r="I95" s="17">
        <v>35.129078885748086</v>
      </c>
      <c r="J95" s="17">
        <v>25.284980899745726</v>
      </c>
      <c r="K95" s="12" t="s">
        <v>682</v>
      </c>
      <c r="L95" s="1">
        <f>VLOOKUP(K95,Paramètres!$A$18:$B$21,2,FALSE)</f>
        <v>0.21</v>
      </c>
      <c r="M95" s="1">
        <f>VLOOKUP($K95,Paramètres!$A$27:$D$30,2,FALSE)</f>
        <v>0.33</v>
      </c>
      <c r="N95" s="1">
        <f>VLOOKUP($K95,Paramètres!$A$27:$D$30,3,FALSE)</f>
        <v>0.35</v>
      </c>
      <c r="O95" s="1">
        <f>VLOOKUP($K95,Paramètres!$A$27:$D$30,4,FALSE)</f>
        <v>0.32</v>
      </c>
      <c r="P95">
        <f>_xlfn.IFNA(VLOOKUP($K95,Paramètres!$A$38:$C$41,2,FALSE),"")</f>
        <v>4</v>
      </c>
      <c r="Q95">
        <f>_xlfn.IFNA(VLOOKUP($K95,Paramètres!$A$38:$C$41,3,FALSE),"")</f>
        <v>5</v>
      </c>
      <c r="R95">
        <v>86</v>
      </c>
      <c r="S95" t="b">
        <v>1</v>
      </c>
      <c r="T95">
        <v>2</v>
      </c>
      <c r="Y95" s="17"/>
      <c r="Z95" s="17"/>
      <c r="AA95" s="17"/>
      <c r="AB95" s="17"/>
    </row>
    <row r="96" spans="1:28" x14ac:dyDescent="0.3">
      <c r="A96" s="10" t="s">
        <v>234</v>
      </c>
      <c r="B96" s="10" t="s">
        <v>235</v>
      </c>
      <c r="C96" s="10" t="s">
        <v>52</v>
      </c>
      <c r="D96" s="15">
        <v>11394</v>
      </c>
      <c r="E96" s="17">
        <v>134.17504400000001</v>
      </c>
      <c r="F96" s="17">
        <v>480.9762118337502</v>
      </c>
      <c r="G96" s="17">
        <v>398.81908911248382</v>
      </c>
      <c r="H96" s="17">
        <v>5.766295411318314</v>
      </c>
      <c r="I96" s="17">
        <v>28.295744081404653</v>
      </c>
      <c r="J96" s="17">
        <v>48.095083228543338</v>
      </c>
      <c r="K96" s="12" t="s">
        <v>682</v>
      </c>
      <c r="L96" s="1">
        <f>VLOOKUP(K96,Paramètres!$A$18:$B$21,2,FALSE)</f>
        <v>0.21</v>
      </c>
      <c r="M96" s="1">
        <f>VLOOKUP($K96,Paramètres!$A$27:$D$30,2,FALSE)</f>
        <v>0.33</v>
      </c>
      <c r="N96" s="1">
        <f>VLOOKUP($K96,Paramètres!$A$27:$D$30,3,FALSE)</f>
        <v>0.35</v>
      </c>
      <c r="O96" s="1">
        <f>VLOOKUP($K96,Paramètres!$A$27:$D$30,4,FALSE)</f>
        <v>0.32</v>
      </c>
      <c r="P96">
        <f>_xlfn.IFNA(VLOOKUP($K96,Paramètres!$A$38:$C$41,2,FALSE),"")</f>
        <v>4</v>
      </c>
      <c r="Q96">
        <f>_xlfn.IFNA(VLOOKUP($K96,Paramètres!$A$38:$C$41,3,FALSE),"")</f>
        <v>5</v>
      </c>
      <c r="R96">
        <v>159</v>
      </c>
      <c r="S96" t="b">
        <v>0</v>
      </c>
      <c r="T96">
        <v>4</v>
      </c>
      <c r="Y96" s="17"/>
      <c r="Z96" s="17"/>
      <c r="AA96" s="17"/>
      <c r="AB96" s="17"/>
    </row>
    <row r="97" spans="1:28" x14ac:dyDescent="0.3">
      <c r="A97" s="10" t="s">
        <v>236</v>
      </c>
      <c r="B97" s="10" t="s">
        <v>237</v>
      </c>
      <c r="C97" s="10" t="s">
        <v>52</v>
      </c>
      <c r="D97" s="15">
        <v>5705</v>
      </c>
      <c r="E97" s="17">
        <v>148.066249</v>
      </c>
      <c r="F97" s="17">
        <v>655.77608952825278</v>
      </c>
      <c r="G97" s="17">
        <v>591.29278593925062</v>
      </c>
      <c r="H97" s="17">
        <v>32.33025993389311</v>
      </c>
      <c r="I97" s="17">
        <v>32.15304365510913</v>
      </c>
      <c r="J97" s="17">
        <v>0</v>
      </c>
      <c r="K97" s="12" t="s">
        <v>681</v>
      </c>
      <c r="L97" s="1">
        <f>VLOOKUP(K97,Paramètres!$A$18:$B$21,2,FALSE)</f>
        <v>0.34</v>
      </c>
      <c r="M97" s="1">
        <f>VLOOKUP($K97,Paramètres!$A$27:$D$30,2,FALSE)</f>
        <v>0.26</v>
      </c>
      <c r="N97" s="1">
        <f>VLOOKUP($K97,Paramètres!$A$27:$D$30,3,FALSE)</f>
        <v>0.33</v>
      </c>
      <c r="O97" s="1">
        <f>VLOOKUP($K97,Paramètres!$A$27:$D$30,4,FALSE)</f>
        <v>0.41</v>
      </c>
      <c r="P97">
        <f>_xlfn.IFNA(VLOOKUP($K97,Paramètres!$A$38:$C$41,2,FALSE),"")</f>
        <v>3</v>
      </c>
      <c r="Q97">
        <f>_xlfn.IFNA(VLOOKUP($K97,Paramètres!$A$38:$C$41,3,FALSE),"")</f>
        <v>5</v>
      </c>
      <c r="R97">
        <v>130</v>
      </c>
      <c r="S97" t="b">
        <v>0</v>
      </c>
      <c r="T97">
        <v>4</v>
      </c>
      <c r="Y97" s="17"/>
      <c r="Z97" s="17"/>
      <c r="AA97" s="17"/>
      <c r="AB97" s="17"/>
    </row>
    <row r="98" spans="1:28" x14ac:dyDescent="0.3">
      <c r="A98" t="s">
        <v>238</v>
      </c>
      <c r="B98" s="10" t="s">
        <v>239</v>
      </c>
      <c r="C98" s="10" t="s">
        <v>52</v>
      </c>
      <c r="D98" s="15">
        <v>17985</v>
      </c>
      <c r="E98" s="17">
        <v>28.660271999999999</v>
      </c>
      <c r="F98" s="17">
        <v>192.56954616078943</v>
      </c>
      <c r="G98" s="17">
        <v>37.251086581145842</v>
      </c>
      <c r="H98" s="17">
        <v>58.652797567708596</v>
      </c>
      <c r="I98" s="17">
        <v>27.590004593860193</v>
      </c>
      <c r="J98" s="17">
        <v>69.075657418074798</v>
      </c>
      <c r="K98" s="12" t="s">
        <v>682</v>
      </c>
      <c r="L98" s="1">
        <f>VLOOKUP(K98,Paramètres!$A$18:$B$21,2,FALSE)</f>
        <v>0.21</v>
      </c>
      <c r="M98" s="1">
        <f>VLOOKUP($K98,Paramètres!$A$27:$D$30,2,FALSE)</f>
        <v>0.33</v>
      </c>
      <c r="N98" s="1">
        <f>VLOOKUP($K98,Paramètres!$A$27:$D$30,3,FALSE)</f>
        <v>0.35</v>
      </c>
      <c r="O98" s="1">
        <f>VLOOKUP($K98,Paramètres!$A$27:$D$30,4,FALSE)</f>
        <v>0.32</v>
      </c>
      <c r="P98">
        <f>_xlfn.IFNA(VLOOKUP($K98,Paramètres!$A$38:$C$41,2,FALSE),"")</f>
        <v>4</v>
      </c>
      <c r="Q98">
        <f>_xlfn.IFNA(VLOOKUP($K98,Paramètres!$A$38:$C$41,3,FALSE),"")</f>
        <v>5</v>
      </c>
      <c r="R98">
        <v>95</v>
      </c>
      <c r="S98" t="b">
        <v>1</v>
      </c>
      <c r="T98">
        <v>3</v>
      </c>
      <c r="Y98" s="17"/>
      <c r="Z98" s="17"/>
      <c r="AA98" s="17"/>
      <c r="AB98" s="17"/>
    </row>
    <row r="99" spans="1:28" x14ac:dyDescent="0.3">
      <c r="A99" s="10" t="s">
        <v>240</v>
      </c>
      <c r="B99" s="10" t="s">
        <v>241</v>
      </c>
      <c r="C99" s="10" t="s">
        <v>52</v>
      </c>
      <c r="D99" s="15">
        <v>10436</v>
      </c>
      <c r="E99" s="17">
        <v>63.305304999999997</v>
      </c>
      <c r="F99" s="17">
        <v>253.569201270116</v>
      </c>
      <c r="G99" s="17">
        <v>152.71126501479077</v>
      </c>
      <c r="H99" s="17">
        <v>35.057828327300996</v>
      </c>
      <c r="I99" s="17">
        <v>29.07400407868565</v>
      </c>
      <c r="J99" s="17">
        <v>36.726103849338621</v>
      </c>
      <c r="K99" s="12" t="s">
        <v>682</v>
      </c>
      <c r="L99" s="1">
        <f>VLOOKUP(K99,Paramètres!$A$18:$B$21,2,FALSE)</f>
        <v>0.21</v>
      </c>
      <c r="M99" s="1">
        <f>VLOOKUP($K99,Paramètres!$A$27:$D$30,2,FALSE)</f>
        <v>0.33</v>
      </c>
      <c r="N99" s="1">
        <f>VLOOKUP($K99,Paramètres!$A$27:$D$30,3,FALSE)</f>
        <v>0.35</v>
      </c>
      <c r="O99" s="1">
        <f>VLOOKUP($K99,Paramètres!$A$27:$D$30,4,FALSE)</f>
        <v>0.32</v>
      </c>
      <c r="P99">
        <f>_xlfn.IFNA(VLOOKUP($K99,Paramètres!$A$38:$C$41,2,FALSE),"")</f>
        <v>4</v>
      </c>
      <c r="Q99">
        <f>_xlfn.IFNA(VLOOKUP($K99,Paramètres!$A$38:$C$41,3,FALSE),"")</f>
        <v>5</v>
      </c>
      <c r="R99">
        <v>136</v>
      </c>
      <c r="S99" t="b">
        <v>0</v>
      </c>
      <c r="T99">
        <v>4</v>
      </c>
      <c r="Y99" s="17"/>
      <c r="Z99" s="17"/>
      <c r="AA99" s="17"/>
      <c r="AB99" s="17"/>
    </row>
    <row r="100" spans="1:28" x14ac:dyDescent="0.3">
      <c r="A100" s="10" t="s">
        <v>242</v>
      </c>
      <c r="B100" s="10" t="s">
        <v>243</v>
      </c>
      <c r="C100" s="10" t="s">
        <v>52</v>
      </c>
      <c r="D100" s="15">
        <v>21630</v>
      </c>
      <c r="E100" s="17">
        <v>26.091370000000001</v>
      </c>
      <c r="F100" s="17">
        <v>180.41024174231305</v>
      </c>
      <c r="G100" s="17">
        <v>49.461026442763504</v>
      </c>
      <c r="H100" s="17">
        <v>32.893624926231546</v>
      </c>
      <c r="I100" s="17">
        <v>30.686453747537957</v>
      </c>
      <c r="J100" s="17">
        <v>67.369136625780044</v>
      </c>
      <c r="K100" s="12" t="s">
        <v>681</v>
      </c>
      <c r="L100" s="1">
        <f>VLOOKUP(K100,Paramètres!$A$18:$B$21,2,FALSE)</f>
        <v>0.34</v>
      </c>
      <c r="M100" s="1">
        <f>VLOOKUP($K100,Paramètres!$A$27:$D$30,2,FALSE)</f>
        <v>0.26</v>
      </c>
      <c r="N100" s="1">
        <f>VLOOKUP($K100,Paramètres!$A$27:$D$30,3,FALSE)</f>
        <v>0.33</v>
      </c>
      <c r="O100" s="1">
        <f>VLOOKUP($K100,Paramètres!$A$27:$D$30,4,FALSE)</f>
        <v>0.41</v>
      </c>
      <c r="P100">
        <f>_xlfn.IFNA(VLOOKUP($K100,Paramètres!$A$38:$C$41,2,FALSE),"")</f>
        <v>3</v>
      </c>
      <c r="Q100">
        <f>_xlfn.IFNA(VLOOKUP($K100,Paramètres!$A$38:$C$41,3,FALSE),"")</f>
        <v>5</v>
      </c>
      <c r="R100">
        <v>168</v>
      </c>
      <c r="S100" t="b">
        <v>1</v>
      </c>
      <c r="T100">
        <v>5</v>
      </c>
      <c r="Y100" s="17"/>
      <c r="Z100" s="17"/>
      <c r="AA100" s="17"/>
      <c r="AB100" s="17"/>
    </row>
    <row r="101" spans="1:28" x14ac:dyDescent="0.3">
      <c r="A101" s="10" t="s">
        <v>244</v>
      </c>
      <c r="B101" s="10" t="s">
        <v>245</v>
      </c>
      <c r="C101" s="10" t="s">
        <v>52</v>
      </c>
      <c r="D101" s="15">
        <v>12256</v>
      </c>
      <c r="E101" s="17">
        <v>112.863542</v>
      </c>
      <c r="F101" s="17">
        <v>533.25036755489668</v>
      </c>
      <c r="G101" s="17">
        <v>189.81807944523234</v>
      </c>
      <c r="H101" s="17">
        <v>300.38518821527003</v>
      </c>
      <c r="I101" s="17">
        <v>33.692645226614353</v>
      </c>
      <c r="J101" s="17">
        <v>9.3544546677799776</v>
      </c>
      <c r="K101" s="12" t="s">
        <v>682</v>
      </c>
      <c r="L101" s="1">
        <f>VLOOKUP(K101,Paramètres!$A$18:$B$21,2,FALSE)</f>
        <v>0.21</v>
      </c>
      <c r="M101" s="1">
        <f>VLOOKUP($K101,Paramètres!$A$27:$D$30,2,FALSE)</f>
        <v>0.33</v>
      </c>
      <c r="N101" s="1">
        <f>VLOOKUP($K101,Paramètres!$A$27:$D$30,3,FALSE)</f>
        <v>0.35</v>
      </c>
      <c r="O101" s="1">
        <f>VLOOKUP($K101,Paramètres!$A$27:$D$30,4,FALSE)</f>
        <v>0.32</v>
      </c>
      <c r="P101">
        <f>_xlfn.IFNA(VLOOKUP($K101,Paramètres!$A$38:$C$41,2,FALSE),"")</f>
        <v>4</v>
      </c>
      <c r="Q101">
        <f>_xlfn.IFNA(VLOOKUP($K101,Paramètres!$A$38:$C$41,3,FALSE),"")</f>
        <v>5</v>
      </c>
      <c r="R101">
        <v>118</v>
      </c>
      <c r="S101" t="b">
        <v>1</v>
      </c>
      <c r="T101">
        <v>3</v>
      </c>
      <c r="Y101" s="17"/>
      <c r="Z101" s="17"/>
      <c r="AA101" s="17"/>
      <c r="AB101" s="17"/>
    </row>
    <row r="102" spans="1:28" x14ac:dyDescent="0.3">
      <c r="A102" s="10" t="s">
        <v>246</v>
      </c>
      <c r="B102" s="10" t="s">
        <v>247</v>
      </c>
      <c r="C102" s="10" t="s">
        <v>52</v>
      </c>
      <c r="D102" s="15">
        <v>4067</v>
      </c>
      <c r="E102" s="17">
        <v>86.543318999999997</v>
      </c>
      <c r="F102" s="17">
        <v>261.19120713123687</v>
      </c>
      <c r="G102" s="17">
        <v>214.51856674821008</v>
      </c>
      <c r="H102" s="17">
        <v>15.381865644879236</v>
      </c>
      <c r="I102" s="17">
        <v>26.763094102689958</v>
      </c>
      <c r="J102" s="17">
        <v>4.5276806354575987</v>
      </c>
      <c r="K102" s="12" t="s">
        <v>682</v>
      </c>
      <c r="L102" s="1">
        <f>VLOOKUP(K102,Paramètres!$A$18:$B$21,2,FALSE)</f>
        <v>0.21</v>
      </c>
      <c r="M102" s="1">
        <f>VLOOKUP($K102,Paramètres!$A$27:$D$30,2,FALSE)</f>
        <v>0.33</v>
      </c>
      <c r="N102" s="1">
        <f>VLOOKUP($K102,Paramètres!$A$27:$D$30,3,FALSE)</f>
        <v>0.35</v>
      </c>
      <c r="O102" s="1">
        <f>VLOOKUP($K102,Paramètres!$A$27:$D$30,4,FALSE)</f>
        <v>0.32</v>
      </c>
      <c r="P102">
        <f>_xlfn.IFNA(VLOOKUP($K102,Paramètres!$A$38:$C$41,2,FALSE),"")</f>
        <v>4</v>
      </c>
      <c r="Q102">
        <f>_xlfn.IFNA(VLOOKUP($K102,Paramètres!$A$38:$C$41,3,FALSE),"")</f>
        <v>5</v>
      </c>
      <c r="R102">
        <v>246</v>
      </c>
      <c r="S102" t="b">
        <v>0</v>
      </c>
      <c r="T102">
        <v>7</v>
      </c>
      <c r="Y102" s="17"/>
      <c r="Z102" s="17"/>
      <c r="AA102" s="17"/>
      <c r="AB102" s="17"/>
    </row>
    <row r="103" spans="1:28" x14ac:dyDescent="0.3">
      <c r="A103" s="10" t="s">
        <v>248</v>
      </c>
      <c r="B103" s="10" t="s">
        <v>249</v>
      </c>
      <c r="C103" s="10" t="s">
        <v>52</v>
      </c>
      <c r="D103" s="15">
        <v>4661</v>
      </c>
      <c r="E103" s="17">
        <v>151.559494</v>
      </c>
      <c r="F103" s="17">
        <v>658.24773535793065</v>
      </c>
      <c r="G103" s="17">
        <v>607.53627305731914</v>
      </c>
      <c r="H103" s="17">
        <v>6.1590569958622652</v>
      </c>
      <c r="I103" s="17">
        <v>38.09656403603779</v>
      </c>
      <c r="J103" s="17">
        <v>6.4558412687114703</v>
      </c>
      <c r="K103" s="12" t="s">
        <v>682</v>
      </c>
      <c r="L103" s="1">
        <f>VLOOKUP(K103,Paramètres!$A$18:$B$21,2,FALSE)</f>
        <v>0.21</v>
      </c>
      <c r="M103" s="1">
        <f>VLOOKUP($K103,Paramètres!$A$27:$D$30,2,FALSE)</f>
        <v>0.33</v>
      </c>
      <c r="N103" s="1">
        <f>VLOOKUP($K103,Paramètres!$A$27:$D$30,3,FALSE)</f>
        <v>0.35</v>
      </c>
      <c r="O103" s="1">
        <f>VLOOKUP($K103,Paramètres!$A$27:$D$30,4,FALSE)</f>
        <v>0.32</v>
      </c>
      <c r="P103">
        <f>_xlfn.IFNA(VLOOKUP($K103,Paramètres!$A$38:$C$41,2,FALSE),"")</f>
        <v>4</v>
      </c>
      <c r="Q103">
        <f>_xlfn.IFNA(VLOOKUP($K103,Paramètres!$A$38:$C$41,3,FALSE),"")</f>
        <v>5</v>
      </c>
      <c r="R103">
        <v>111</v>
      </c>
      <c r="S103" t="b">
        <v>0</v>
      </c>
      <c r="T103">
        <v>3</v>
      </c>
      <c r="Y103" s="17"/>
      <c r="Z103" s="17"/>
      <c r="AA103" s="17"/>
      <c r="AB103" s="17"/>
    </row>
    <row r="104" spans="1:28" x14ac:dyDescent="0.3">
      <c r="A104" s="10" t="s">
        <v>250</v>
      </c>
      <c r="B104" s="10" t="s">
        <v>251</v>
      </c>
      <c r="C104" s="10" t="s">
        <v>52</v>
      </c>
      <c r="D104" s="15">
        <v>3571</v>
      </c>
      <c r="E104" s="17">
        <v>23.602691</v>
      </c>
      <c r="F104" s="17">
        <v>88.343796256136713</v>
      </c>
      <c r="G104" s="17">
        <v>47.407368559067436</v>
      </c>
      <c r="H104" s="17">
        <v>15.532005765813587</v>
      </c>
      <c r="I104" s="17">
        <v>23.755690247091611</v>
      </c>
      <c r="J104" s="17">
        <v>1.6487316841640787</v>
      </c>
      <c r="K104" s="12" t="s">
        <v>682</v>
      </c>
      <c r="L104" s="1">
        <f>VLOOKUP(K104,Paramètres!$A$18:$B$21,2,FALSE)</f>
        <v>0.21</v>
      </c>
      <c r="M104" s="1">
        <f>VLOOKUP($K104,Paramètres!$A$27:$D$30,2,FALSE)</f>
        <v>0.33</v>
      </c>
      <c r="N104" s="1">
        <f>VLOOKUP($K104,Paramètres!$A$27:$D$30,3,FALSE)</f>
        <v>0.35</v>
      </c>
      <c r="O104" s="1">
        <f>VLOOKUP($K104,Paramètres!$A$27:$D$30,4,FALSE)</f>
        <v>0.32</v>
      </c>
      <c r="P104">
        <f>_xlfn.IFNA(VLOOKUP($K104,Paramètres!$A$38:$C$41,2,FALSE),"")</f>
        <v>4</v>
      </c>
      <c r="Q104">
        <f>_xlfn.IFNA(VLOOKUP($K104,Paramètres!$A$38:$C$41,3,FALSE),"")</f>
        <v>5</v>
      </c>
      <c r="R104">
        <v>91</v>
      </c>
      <c r="S104" t="b">
        <v>0</v>
      </c>
      <c r="T104">
        <v>2</v>
      </c>
      <c r="Y104" s="17"/>
      <c r="Z104" s="17"/>
      <c r="AA104" s="17"/>
      <c r="AB104" s="17"/>
    </row>
    <row r="105" spans="1:28" x14ac:dyDescent="0.3">
      <c r="A105" s="10" t="s">
        <v>252</v>
      </c>
      <c r="B105" s="10" t="s">
        <v>253</v>
      </c>
      <c r="C105" s="10" t="s">
        <v>52</v>
      </c>
      <c r="D105" s="15">
        <v>26550</v>
      </c>
      <c r="E105" s="17">
        <v>96.477614000000003</v>
      </c>
      <c r="F105" s="17">
        <v>428.91041478628023</v>
      </c>
      <c r="G105" s="17">
        <v>237.41189272667418</v>
      </c>
      <c r="H105" s="17">
        <v>59.291372653707377</v>
      </c>
      <c r="I105" s="17">
        <v>96.481526224329599</v>
      </c>
      <c r="J105" s="17">
        <v>35.725623181569105</v>
      </c>
      <c r="K105" s="12" t="s">
        <v>681</v>
      </c>
      <c r="L105" s="1">
        <f>VLOOKUP(K105,Paramètres!$A$18:$B$21,2,FALSE)</f>
        <v>0.34</v>
      </c>
      <c r="M105" s="1">
        <f>VLOOKUP($K105,Paramètres!$A$27:$D$30,2,FALSE)</f>
        <v>0.26</v>
      </c>
      <c r="N105" s="1">
        <f>VLOOKUP($K105,Paramètres!$A$27:$D$30,3,FALSE)</f>
        <v>0.33</v>
      </c>
      <c r="O105" s="1">
        <f>VLOOKUP($K105,Paramètres!$A$27:$D$30,4,FALSE)</f>
        <v>0.41</v>
      </c>
      <c r="P105">
        <f>_xlfn.IFNA(VLOOKUP($K105,Paramètres!$A$38:$C$41,2,FALSE),"")</f>
        <v>3</v>
      </c>
      <c r="Q105">
        <f>_xlfn.IFNA(VLOOKUP($K105,Paramètres!$A$38:$C$41,3,FALSE),"")</f>
        <v>5</v>
      </c>
      <c r="R105">
        <v>314</v>
      </c>
      <c r="S105" t="b">
        <v>1</v>
      </c>
      <c r="T105">
        <v>8</v>
      </c>
      <c r="Y105" s="17"/>
      <c r="Z105" s="17"/>
      <c r="AA105" s="17"/>
      <c r="AB105" s="17"/>
    </row>
    <row r="106" spans="1:28" x14ac:dyDescent="0.3">
      <c r="A106" s="10" t="s">
        <v>254</v>
      </c>
      <c r="B106" s="10" t="s">
        <v>255</v>
      </c>
      <c r="C106" s="10" t="s">
        <v>52</v>
      </c>
      <c r="D106" s="15">
        <v>16160</v>
      </c>
      <c r="E106" s="17">
        <v>90.349676000000002</v>
      </c>
      <c r="F106" s="17">
        <v>418.8414775479971</v>
      </c>
      <c r="G106" s="17">
        <v>247.08495144777123</v>
      </c>
      <c r="H106" s="17">
        <v>76.338588862312079</v>
      </c>
      <c r="I106" s="17">
        <v>56.66964041132686</v>
      </c>
      <c r="J106" s="17">
        <v>38.748296826586902</v>
      </c>
      <c r="K106" s="12" t="s">
        <v>682</v>
      </c>
      <c r="L106" s="1">
        <f>VLOOKUP(K106,Paramètres!$A$18:$B$21,2,FALSE)</f>
        <v>0.21</v>
      </c>
      <c r="M106" s="1">
        <f>VLOOKUP($K106,Paramètres!$A$27:$D$30,2,FALSE)</f>
        <v>0.33</v>
      </c>
      <c r="N106" s="1">
        <f>VLOOKUP($K106,Paramètres!$A$27:$D$30,3,FALSE)</f>
        <v>0.35</v>
      </c>
      <c r="O106" s="1">
        <f>VLOOKUP($K106,Paramètres!$A$27:$D$30,4,FALSE)</f>
        <v>0.32</v>
      </c>
      <c r="P106">
        <f>_xlfn.IFNA(VLOOKUP($K106,Paramètres!$A$38:$C$41,2,FALSE),"")</f>
        <v>4</v>
      </c>
      <c r="Q106">
        <f>_xlfn.IFNA(VLOOKUP($K106,Paramètres!$A$38:$C$41,3,FALSE),"")</f>
        <v>5</v>
      </c>
      <c r="R106">
        <v>180</v>
      </c>
      <c r="S106" t="b">
        <v>0</v>
      </c>
      <c r="T106">
        <v>5</v>
      </c>
      <c r="Y106" s="17"/>
      <c r="Z106" s="17"/>
      <c r="AA106" s="17"/>
      <c r="AB106" s="17"/>
    </row>
    <row r="107" spans="1:28" x14ac:dyDescent="0.3">
      <c r="A107" s="10" t="s">
        <v>256</v>
      </c>
      <c r="B107" s="10" t="s">
        <v>257</v>
      </c>
      <c r="C107" s="10" t="s">
        <v>52</v>
      </c>
      <c r="D107" s="15">
        <v>12900</v>
      </c>
      <c r="E107" s="17">
        <v>47.684710000000003</v>
      </c>
      <c r="F107" s="17">
        <v>207.98717337603867</v>
      </c>
      <c r="G107" s="17">
        <v>70.252096903028203</v>
      </c>
      <c r="H107" s="17">
        <v>47.136584670883387</v>
      </c>
      <c r="I107" s="17">
        <v>39.720687034627282</v>
      </c>
      <c r="J107" s="17">
        <v>50.877804767499782</v>
      </c>
      <c r="K107" s="12" t="s">
        <v>682</v>
      </c>
      <c r="L107" s="1">
        <f>VLOOKUP(K107,Paramètres!$A$18:$B$21,2,FALSE)</f>
        <v>0.21</v>
      </c>
      <c r="M107" s="1">
        <f>VLOOKUP($K107,Paramètres!$A$27:$D$30,2,FALSE)</f>
        <v>0.33</v>
      </c>
      <c r="N107" s="1">
        <f>VLOOKUP($K107,Paramètres!$A$27:$D$30,3,FALSE)</f>
        <v>0.35</v>
      </c>
      <c r="O107" s="1">
        <f>VLOOKUP($K107,Paramètres!$A$27:$D$30,4,FALSE)</f>
        <v>0.32</v>
      </c>
      <c r="P107">
        <f>_xlfn.IFNA(VLOOKUP($K107,Paramètres!$A$38:$C$41,2,FALSE),"")</f>
        <v>4</v>
      </c>
      <c r="Q107">
        <f>_xlfn.IFNA(VLOOKUP($K107,Paramètres!$A$38:$C$41,3,FALSE),"")</f>
        <v>5</v>
      </c>
      <c r="R107">
        <v>159</v>
      </c>
      <c r="S107" t="b">
        <v>0</v>
      </c>
      <c r="T107">
        <v>4</v>
      </c>
      <c r="Y107" s="17"/>
      <c r="Z107" s="17"/>
      <c r="AA107" s="17"/>
      <c r="AB107" s="17"/>
    </row>
    <row r="108" spans="1:28" x14ac:dyDescent="0.3">
      <c r="A108" s="10" t="s">
        <v>258</v>
      </c>
      <c r="B108" s="10" t="s">
        <v>259</v>
      </c>
      <c r="C108" s="10" t="s">
        <v>52</v>
      </c>
      <c r="D108" s="15">
        <v>7445</v>
      </c>
      <c r="E108" s="17">
        <v>65.028532999999996</v>
      </c>
      <c r="F108" s="17">
        <v>290.73499152636629</v>
      </c>
      <c r="G108" s="17">
        <v>182.34409687847551</v>
      </c>
      <c r="H108" s="17">
        <v>49.362941641768373</v>
      </c>
      <c r="I108" s="17">
        <v>58.128089580723184</v>
      </c>
      <c r="J108" s="17">
        <v>0.89986342539923303</v>
      </c>
      <c r="K108" s="12" t="s">
        <v>682</v>
      </c>
      <c r="L108" s="1">
        <f>VLOOKUP(K108,Paramètres!$A$18:$B$21,2,FALSE)</f>
        <v>0.21</v>
      </c>
      <c r="M108" s="1">
        <f>VLOOKUP($K108,Paramètres!$A$27:$D$30,2,FALSE)</f>
        <v>0.33</v>
      </c>
      <c r="N108" s="1">
        <f>VLOOKUP($K108,Paramètres!$A$27:$D$30,3,FALSE)</f>
        <v>0.35</v>
      </c>
      <c r="O108" s="1">
        <f>VLOOKUP($K108,Paramètres!$A$27:$D$30,4,FALSE)</f>
        <v>0.32</v>
      </c>
      <c r="P108">
        <f>_xlfn.IFNA(VLOOKUP($K108,Paramètres!$A$38:$C$41,2,FALSE),"")</f>
        <v>4</v>
      </c>
      <c r="Q108">
        <f>_xlfn.IFNA(VLOOKUP($K108,Paramètres!$A$38:$C$41,3,FALSE),"")</f>
        <v>5</v>
      </c>
      <c r="R108">
        <v>116</v>
      </c>
      <c r="S108" t="b">
        <v>0</v>
      </c>
      <c r="T108">
        <v>3</v>
      </c>
      <c r="Y108" s="17"/>
      <c r="Z108" s="17"/>
      <c r="AA108" s="17"/>
      <c r="AB108" s="17"/>
    </row>
    <row r="109" spans="1:28" x14ac:dyDescent="0.3">
      <c r="A109" s="10" t="s">
        <v>260</v>
      </c>
      <c r="B109" s="10" t="s">
        <v>261</v>
      </c>
      <c r="C109" s="10" t="s">
        <v>52</v>
      </c>
      <c r="D109" s="15">
        <v>5452</v>
      </c>
      <c r="E109" s="17">
        <v>165.353725</v>
      </c>
      <c r="F109" s="17">
        <v>688.78378730578231</v>
      </c>
      <c r="G109" s="17">
        <v>608.08397011851832</v>
      </c>
      <c r="H109" s="17">
        <v>29.482839524030734</v>
      </c>
      <c r="I109" s="17">
        <v>51.21697766323328</v>
      </c>
      <c r="J109" s="17">
        <v>0</v>
      </c>
      <c r="K109" s="12" t="s">
        <v>682</v>
      </c>
      <c r="L109" s="1">
        <f>VLOOKUP(K109,Paramètres!$A$18:$B$21,2,FALSE)</f>
        <v>0.21</v>
      </c>
      <c r="M109" s="1">
        <f>VLOOKUP($K109,Paramètres!$A$27:$D$30,2,FALSE)</f>
        <v>0.33</v>
      </c>
      <c r="N109" s="1">
        <f>VLOOKUP($K109,Paramètres!$A$27:$D$30,3,FALSE)</f>
        <v>0.35</v>
      </c>
      <c r="O109" s="1">
        <f>VLOOKUP($K109,Paramètres!$A$27:$D$30,4,FALSE)</f>
        <v>0.32</v>
      </c>
      <c r="P109">
        <f>_xlfn.IFNA(VLOOKUP($K109,Paramètres!$A$38:$C$41,2,FALSE),"")</f>
        <v>4</v>
      </c>
      <c r="Q109">
        <f>_xlfn.IFNA(VLOOKUP($K109,Paramètres!$A$38:$C$41,3,FALSE),"")</f>
        <v>5</v>
      </c>
      <c r="R109">
        <v>113</v>
      </c>
      <c r="S109" t="b">
        <v>0</v>
      </c>
      <c r="T109">
        <v>3</v>
      </c>
      <c r="Y109" s="17"/>
      <c r="Z109" s="17"/>
      <c r="AA109" s="17"/>
      <c r="AB109" s="17"/>
    </row>
    <row r="110" spans="1:28" x14ac:dyDescent="0.3">
      <c r="A110" s="10" t="s">
        <v>730</v>
      </c>
      <c r="B110" s="10" t="s">
        <v>262</v>
      </c>
      <c r="C110" s="10" t="s">
        <v>52</v>
      </c>
      <c r="D110" s="15">
        <v>23416</v>
      </c>
      <c r="E110" s="17">
        <v>34.172220000000003</v>
      </c>
      <c r="F110" s="17">
        <v>270.37095241815808</v>
      </c>
      <c r="G110" s="17">
        <v>121.64783224043745</v>
      </c>
      <c r="H110" s="17">
        <v>50.606535543388325</v>
      </c>
      <c r="I110" s="17">
        <v>22.452451409684368</v>
      </c>
      <c r="J110" s="17">
        <v>75.664133224647941</v>
      </c>
      <c r="K110" s="12" t="s">
        <v>681</v>
      </c>
      <c r="L110" s="1">
        <f>VLOOKUP(K110,Paramètres!$A$18:$B$21,2,FALSE)</f>
        <v>0.34</v>
      </c>
      <c r="M110" s="1">
        <f>VLOOKUP($K110,Paramètres!$A$27:$D$30,2,FALSE)</f>
        <v>0.26</v>
      </c>
      <c r="N110" s="1">
        <f>VLOOKUP($K110,Paramètres!$A$27:$D$30,3,FALSE)</f>
        <v>0.33</v>
      </c>
      <c r="O110" s="1">
        <f>VLOOKUP($K110,Paramètres!$A$27:$D$30,4,FALSE)</f>
        <v>0.41</v>
      </c>
      <c r="P110">
        <f>_xlfn.IFNA(VLOOKUP($K110,Paramètres!$A$38:$C$41,2,FALSE),"")</f>
        <v>3</v>
      </c>
      <c r="Q110">
        <f>_xlfn.IFNA(VLOOKUP($K110,Paramètres!$A$38:$C$41,3,FALSE),"")</f>
        <v>5</v>
      </c>
      <c r="R110">
        <v>139</v>
      </c>
      <c r="S110" t="b">
        <v>1</v>
      </c>
      <c r="T110">
        <v>4</v>
      </c>
      <c r="Y110" s="17"/>
      <c r="Z110" s="17"/>
      <c r="AA110" s="17"/>
      <c r="AB110" s="17"/>
    </row>
    <row r="111" spans="1:28" x14ac:dyDescent="0.3">
      <c r="A111" s="10" t="s">
        <v>263</v>
      </c>
      <c r="B111" s="10" t="s">
        <v>264</v>
      </c>
      <c r="C111" s="10" t="s">
        <v>52</v>
      </c>
      <c r="D111" s="15">
        <v>14014</v>
      </c>
      <c r="E111" s="17">
        <v>55.553790999999997</v>
      </c>
      <c r="F111" s="17">
        <v>294.61728946588329</v>
      </c>
      <c r="G111" s="17">
        <v>125.8874539516675</v>
      </c>
      <c r="H111" s="17">
        <v>58.394769418357406</v>
      </c>
      <c r="I111" s="17">
        <v>69.606622420204772</v>
      </c>
      <c r="J111" s="17">
        <v>40.728443675653608</v>
      </c>
      <c r="K111" s="12" t="s">
        <v>682</v>
      </c>
      <c r="L111" s="1">
        <f>VLOOKUP(K111,Paramètres!$A$18:$B$21,2,FALSE)</f>
        <v>0.21</v>
      </c>
      <c r="M111" s="1">
        <f>VLOOKUP($K111,Paramètres!$A$27:$D$30,2,FALSE)</f>
        <v>0.33</v>
      </c>
      <c r="N111" s="1">
        <f>VLOOKUP($K111,Paramètres!$A$27:$D$30,3,FALSE)</f>
        <v>0.35</v>
      </c>
      <c r="O111" s="1">
        <f>VLOOKUP($K111,Paramètres!$A$27:$D$30,4,FALSE)</f>
        <v>0.32</v>
      </c>
      <c r="P111">
        <f>_xlfn.IFNA(VLOOKUP($K111,Paramètres!$A$38:$C$41,2,FALSE),"")</f>
        <v>4</v>
      </c>
      <c r="Q111">
        <f>_xlfn.IFNA(VLOOKUP($K111,Paramètres!$A$38:$C$41,3,FALSE),"")</f>
        <v>5</v>
      </c>
      <c r="R111">
        <v>165</v>
      </c>
      <c r="S111" t="b">
        <v>0</v>
      </c>
      <c r="T111">
        <v>4</v>
      </c>
      <c r="Y111" s="17"/>
      <c r="Z111" s="17"/>
      <c r="AA111" s="17"/>
      <c r="AB111" s="17"/>
    </row>
    <row r="112" spans="1:28" x14ac:dyDescent="0.3">
      <c r="A112" s="10" t="s">
        <v>265</v>
      </c>
      <c r="B112" s="10" t="s">
        <v>266</v>
      </c>
      <c r="C112" s="10" t="s">
        <v>52</v>
      </c>
      <c r="D112" s="15">
        <v>8668</v>
      </c>
      <c r="E112" s="17">
        <v>103.515136</v>
      </c>
      <c r="F112" s="17">
        <v>470.67550039001986</v>
      </c>
      <c r="G112" s="17">
        <v>404.08071048341571</v>
      </c>
      <c r="H112" s="17">
        <v>1.4020775216341428</v>
      </c>
      <c r="I112" s="17">
        <v>30.727071528075928</v>
      </c>
      <c r="J112" s="17">
        <v>34.465640856894026</v>
      </c>
      <c r="K112" s="12" t="s">
        <v>682</v>
      </c>
      <c r="L112" s="1">
        <f>VLOOKUP(K112,Paramètres!$A$18:$B$21,2,FALSE)</f>
        <v>0.21</v>
      </c>
      <c r="M112" s="1">
        <f>VLOOKUP($K112,Paramètres!$A$27:$D$30,2,FALSE)</f>
        <v>0.33</v>
      </c>
      <c r="N112" s="1">
        <f>VLOOKUP($K112,Paramètres!$A$27:$D$30,3,FALSE)</f>
        <v>0.35</v>
      </c>
      <c r="O112" s="1">
        <f>VLOOKUP($K112,Paramètres!$A$27:$D$30,4,FALSE)</f>
        <v>0.32</v>
      </c>
      <c r="P112">
        <f>_xlfn.IFNA(VLOOKUP($K112,Paramètres!$A$38:$C$41,2,FALSE),"")</f>
        <v>4</v>
      </c>
      <c r="Q112">
        <f>_xlfn.IFNA(VLOOKUP($K112,Paramètres!$A$38:$C$41,3,FALSE),"")</f>
        <v>5</v>
      </c>
      <c r="R112">
        <v>118</v>
      </c>
      <c r="S112" t="b">
        <v>0</v>
      </c>
      <c r="T112">
        <v>3</v>
      </c>
      <c r="Y112" s="17"/>
      <c r="Z112" s="17"/>
      <c r="AA112" s="17"/>
      <c r="AB112" s="17"/>
    </row>
    <row r="113" spans="1:28" x14ac:dyDescent="0.3">
      <c r="A113" s="10" t="s">
        <v>267</v>
      </c>
      <c r="B113" s="10" t="s">
        <v>268</v>
      </c>
      <c r="C113" s="10" t="s">
        <v>52</v>
      </c>
      <c r="D113" s="15">
        <v>3776</v>
      </c>
      <c r="E113" s="17">
        <v>27.753198000000001</v>
      </c>
      <c r="F113" s="17">
        <v>152.67080583244382</v>
      </c>
      <c r="G113" s="17">
        <v>107.77037147106712</v>
      </c>
      <c r="H113" s="17">
        <v>10.036290207962827</v>
      </c>
      <c r="I113" s="17">
        <v>7.5371196206836002</v>
      </c>
      <c r="J113" s="17">
        <v>27.327024532730267</v>
      </c>
      <c r="K113" s="12" t="s">
        <v>682</v>
      </c>
      <c r="L113" s="1">
        <f>VLOOKUP(K113,Paramètres!$A$18:$B$21,2,FALSE)</f>
        <v>0.21</v>
      </c>
      <c r="M113" s="1">
        <f>VLOOKUP($K113,Paramètres!$A$27:$D$30,2,FALSE)</f>
        <v>0.33</v>
      </c>
      <c r="N113" s="1">
        <f>VLOOKUP($K113,Paramètres!$A$27:$D$30,3,FALSE)</f>
        <v>0.35</v>
      </c>
      <c r="O113" s="1">
        <f>VLOOKUP($K113,Paramètres!$A$27:$D$30,4,FALSE)</f>
        <v>0.32</v>
      </c>
      <c r="P113">
        <f>_xlfn.IFNA(VLOOKUP($K113,Paramètres!$A$38:$C$41,2,FALSE),"")</f>
        <v>4</v>
      </c>
      <c r="Q113">
        <f>_xlfn.IFNA(VLOOKUP($K113,Paramètres!$A$38:$C$41,3,FALSE),"")</f>
        <v>5</v>
      </c>
      <c r="R113">
        <v>97</v>
      </c>
      <c r="S113" t="b">
        <v>0</v>
      </c>
      <c r="T113">
        <v>3</v>
      </c>
      <c r="Y113" s="17"/>
      <c r="Z113" s="17"/>
      <c r="AA113" s="17"/>
      <c r="AB113" s="17"/>
    </row>
    <row r="114" spans="1:28" x14ac:dyDescent="0.3">
      <c r="A114" s="10" t="s">
        <v>269</v>
      </c>
      <c r="B114" s="10" t="s">
        <v>270</v>
      </c>
      <c r="C114" s="10" t="s">
        <v>52</v>
      </c>
      <c r="D114" s="15">
        <v>7438</v>
      </c>
      <c r="E114" s="17">
        <v>76.597964000000005</v>
      </c>
      <c r="F114" s="17">
        <v>307.07923157962415</v>
      </c>
      <c r="G114" s="17">
        <v>206.05806391085108</v>
      </c>
      <c r="H114" s="17">
        <v>38.61243894637586</v>
      </c>
      <c r="I114" s="17">
        <v>55.69014046064364</v>
      </c>
      <c r="J114" s="17">
        <v>6.7185882617535633</v>
      </c>
      <c r="K114" s="12" t="s">
        <v>682</v>
      </c>
      <c r="L114" s="1">
        <f>VLOOKUP(K114,Paramètres!$A$18:$B$21,2,FALSE)</f>
        <v>0.21</v>
      </c>
      <c r="M114" s="1">
        <f>VLOOKUP($K114,Paramètres!$A$27:$D$30,2,FALSE)</f>
        <v>0.33</v>
      </c>
      <c r="N114" s="1">
        <f>VLOOKUP($K114,Paramètres!$A$27:$D$30,3,FALSE)</f>
        <v>0.35</v>
      </c>
      <c r="O114" s="1">
        <f>VLOOKUP($K114,Paramètres!$A$27:$D$30,4,FALSE)</f>
        <v>0.32</v>
      </c>
      <c r="P114">
        <f>_xlfn.IFNA(VLOOKUP($K114,Paramètres!$A$38:$C$41,2,FALSE),"")</f>
        <v>4</v>
      </c>
      <c r="Q114">
        <f>_xlfn.IFNA(VLOOKUP($K114,Paramètres!$A$38:$C$41,3,FALSE),"")</f>
        <v>5</v>
      </c>
      <c r="R114">
        <v>110</v>
      </c>
      <c r="S114" t="b">
        <v>0</v>
      </c>
      <c r="T114">
        <v>3</v>
      </c>
      <c r="Y114" s="17"/>
      <c r="Z114" s="17"/>
      <c r="AA114" s="17"/>
      <c r="AB114" s="17"/>
    </row>
    <row r="115" spans="1:28" x14ac:dyDescent="0.3">
      <c r="A115" s="10" t="s">
        <v>271</v>
      </c>
      <c r="B115" s="10" t="s">
        <v>272</v>
      </c>
      <c r="C115" s="10" t="s">
        <v>52</v>
      </c>
      <c r="D115" s="15">
        <v>13838</v>
      </c>
      <c r="E115" s="17">
        <v>45.705328000000002</v>
      </c>
      <c r="F115" s="17">
        <v>198.28772570328377</v>
      </c>
      <c r="G115" s="17">
        <v>68.454564852333377</v>
      </c>
      <c r="H115" s="17">
        <v>36.853580694215943</v>
      </c>
      <c r="I115" s="17">
        <v>59.21219443096836</v>
      </c>
      <c r="J115" s="17">
        <v>33.767385725766069</v>
      </c>
      <c r="K115" s="12" t="s">
        <v>682</v>
      </c>
      <c r="L115" s="1">
        <f>VLOOKUP(K115,Paramètres!$A$18:$B$21,2,FALSE)</f>
        <v>0.21</v>
      </c>
      <c r="M115" s="1">
        <f>VLOOKUP($K115,Paramètres!$A$27:$D$30,2,FALSE)</f>
        <v>0.33</v>
      </c>
      <c r="N115" s="1">
        <f>VLOOKUP($K115,Paramètres!$A$27:$D$30,3,FALSE)</f>
        <v>0.35</v>
      </c>
      <c r="O115" s="1">
        <f>VLOOKUP($K115,Paramètres!$A$27:$D$30,4,FALSE)</f>
        <v>0.32</v>
      </c>
      <c r="P115">
        <f>_xlfn.IFNA(VLOOKUP($K115,Paramètres!$A$38:$C$41,2,FALSE),"")</f>
        <v>4</v>
      </c>
      <c r="Q115">
        <f>_xlfn.IFNA(VLOOKUP($K115,Paramètres!$A$38:$C$41,3,FALSE),"")</f>
        <v>5</v>
      </c>
      <c r="R115">
        <v>49</v>
      </c>
      <c r="S115" t="b">
        <v>1</v>
      </c>
      <c r="T115">
        <v>1</v>
      </c>
      <c r="Y115" s="17"/>
      <c r="Z115" s="17"/>
      <c r="AA115" s="17"/>
      <c r="AB115" s="17"/>
    </row>
    <row r="116" spans="1:28" x14ac:dyDescent="0.3">
      <c r="A116" s="10" t="s">
        <v>273</v>
      </c>
      <c r="B116" s="10" t="s">
        <v>274</v>
      </c>
      <c r="C116" s="10" t="s">
        <v>52</v>
      </c>
      <c r="D116" s="15">
        <v>17202</v>
      </c>
      <c r="E116" s="17">
        <v>86.493053000000003</v>
      </c>
      <c r="F116" s="17">
        <v>376.93501055554088</v>
      </c>
      <c r="G116" s="17">
        <v>200.24730894709248</v>
      </c>
      <c r="H116" s="17">
        <v>37.765876678574784</v>
      </c>
      <c r="I116" s="17">
        <v>106.27134352974309</v>
      </c>
      <c r="J116" s="17">
        <v>32.650481400130559</v>
      </c>
      <c r="K116" s="12" t="s">
        <v>682</v>
      </c>
      <c r="L116" s="1">
        <f>VLOOKUP(K116,Paramètres!$A$18:$B$21,2,FALSE)</f>
        <v>0.21</v>
      </c>
      <c r="M116" s="1">
        <f>VLOOKUP($K116,Paramètres!$A$27:$D$30,2,FALSE)</f>
        <v>0.33</v>
      </c>
      <c r="N116" s="1">
        <f>VLOOKUP($K116,Paramètres!$A$27:$D$30,3,FALSE)</f>
        <v>0.35</v>
      </c>
      <c r="O116" s="1">
        <f>VLOOKUP($K116,Paramètres!$A$27:$D$30,4,FALSE)</f>
        <v>0.32</v>
      </c>
      <c r="P116">
        <f>_xlfn.IFNA(VLOOKUP($K116,Paramètres!$A$38:$C$41,2,FALSE),"")</f>
        <v>4</v>
      </c>
      <c r="Q116">
        <f>_xlfn.IFNA(VLOOKUP($K116,Paramètres!$A$38:$C$41,3,FALSE),"")</f>
        <v>5</v>
      </c>
      <c r="R116">
        <v>197</v>
      </c>
      <c r="S116" t="b">
        <v>0</v>
      </c>
      <c r="T116">
        <v>5</v>
      </c>
      <c r="Y116" s="17"/>
      <c r="Z116" s="17"/>
      <c r="AA116" s="17"/>
      <c r="AB116" s="17"/>
    </row>
    <row r="117" spans="1:28" x14ac:dyDescent="0.3">
      <c r="A117" s="10" t="s">
        <v>726</v>
      </c>
      <c r="B117" s="10" t="s">
        <v>275</v>
      </c>
      <c r="C117" s="10" t="s">
        <v>52</v>
      </c>
      <c r="D117" s="15">
        <v>6081</v>
      </c>
      <c r="E117" s="17">
        <v>56.591918999999997</v>
      </c>
      <c r="F117" s="17">
        <v>255.14209133523025</v>
      </c>
      <c r="G117" s="17">
        <v>165.71635587586371</v>
      </c>
      <c r="H117" s="17">
        <v>42.149404715259529</v>
      </c>
      <c r="I117" s="17">
        <v>44.129579133191925</v>
      </c>
      <c r="J117" s="17">
        <v>3.1467516109151159</v>
      </c>
      <c r="K117" s="12" t="s">
        <v>681</v>
      </c>
      <c r="L117" s="1">
        <f>VLOOKUP(K117,Paramètres!$A$18:$B$21,2,FALSE)</f>
        <v>0.34</v>
      </c>
      <c r="M117" s="1">
        <f>VLOOKUP($K117,Paramètres!$A$27:$D$30,2,FALSE)</f>
        <v>0.26</v>
      </c>
      <c r="N117" s="1">
        <f>VLOOKUP($K117,Paramètres!$A$27:$D$30,3,FALSE)</f>
        <v>0.33</v>
      </c>
      <c r="O117" s="1">
        <f>VLOOKUP($K117,Paramètres!$A$27:$D$30,4,FALSE)</f>
        <v>0.41</v>
      </c>
      <c r="P117">
        <f>_xlfn.IFNA(VLOOKUP($K117,Paramètres!$A$38:$C$41,2,FALSE),"")</f>
        <v>3</v>
      </c>
      <c r="Q117">
        <f>_xlfn.IFNA(VLOOKUP($K117,Paramètres!$A$38:$C$41,3,FALSE),"")</f>
        <v>5</v>
      </c>
      <c r="R117">
        <v>142</v>
      </c>
      <c r="S117" t="b">
        <v>1</v>
      </c>
      <c r="T117">
        <v>4</v>
      </c>
      <c r="Y117" s="17"/>
      <c r="Z117" s="17"/>
      <c r="AA117" s="17"/>
      <c r="AB117" s="17"/>
    </row>
    <row r="118" spans="1:28" x14ac:dyDescent="0.3">
      <c r="A118" s="10" t="s">
        <v>276</v>
      </c>
      <c r="B118" s="10" t="s">
        <v>277</v>
      </c>
      <c r="C118" s="10" t="s">
        <v>52</v>
      </c>
      <c r="D118" s="15">
        <v>5461</v>
      </c>
      <c r="E118" s="17">
        <v>104.731673</v>
      </c>
      <c r="F118" s="17">
        <v>365.11720140215834</v>
      </c>
      <c r="G118" s="17">
        <v>311.49781788103508</v>
      </c>
      <c r="H118" s="17">
        <v>14.346160930792024</v>
      </c>
      <c r="I118" s="17">
        <v>32.896851043483906</v>
      </c>
      <c r="J118" s="17">
        <v>6.3763715468473698</v>
      </c>
      <c r="K118" s="12" t="s">
        <v>682</v>
      </c>
      <c r="L118" s="1">
        <f>VLOOKUP(K118,Paramètres!$A$18:$B$21,2,FALSE)</f>
        <v>0.21</v>
      </c>
      <c r="M118" s="1">
        <f>VLOOKUP($K118,Paramètres!$A$27:$D$30,2,FALSE)</f>
        <v>0.33</v>
      </c>
      <c r="N118" s="1">
        <f>VLOOKUP($K118,Paramètres!$A$27:$D$30,3,FALSE)</f>
        <v>0.35</v>
      </c>
      <c r="O118" s="1">
        <f>VLOOKUP($K118,Paramètres!$A$27:$D$30,4,FALSE)</f>
        <v>0.32</v>
      </c>
      <c r="P118">
        <f>_xlfn.IFNA(VLOOKUP($K118,Paramètres!$A$38:$C$41,2,FALSE),"")</f>
        <v>4</v>
      </c>
      <c r="Q118">
        <f>_xlfn.IFNA(VLOOKUP($K118,Paramètres!$A$38:$C$41,3,FALSE),"")</f>
        <v>5</v>
      </c>
      <c r="R118">
        <v>101</v>
      </c>
      <c r="S118" t="b">
        <v>0</v>
      </c>
      <c r="T118">
        <v>3</v>
      </c>
      <c r="Y118" s="17"/>
      <c r="Z118" s="17"/>
      <c r="AA118" s="17"/>
      <c r="AB118" s="17"/>
    </row>
    <row r="119" spans="1:28" x14ac:dyDescent="0.3">
      <c r="A119" s="10" t="s">
        <v>278</v>
      </c>
      <c r="B119" s="10" t="s">
        <v>279</v>
      </c>
      <c r="C119" s="10" t="s">
        <v>52</v>
      </c>
      <c r="D119" s="15">
        <v>3894</v>
      </c>
      <c r="E119" s="17">
        <v>16.982538999999999</v>
      </c>
      <c r="F119" s="17">
        <v>75.878929701286992</v>
      </c>
      <c r="G119" s="17">
        <v>46.700981675351109</v>
      </c>
      <c r="H119" s="17">
        <v>2.8365432117345417</v>
      </c>
      <c r="I119" s="17">
        <v>12.118081752717236</v>
      </c>
      <c r="J119" s="17">
        <v>14.2233230614841</v>
      </c>
      <c r="K119" s="12" t="s">
        <v>682</v>
      </c>
      <c r="L119" s="1">
        <f>VLOOKUP(K119,Paramètres!$A$18:$B$21,2,FALSE)</f>
        <v>0.21</v>
      </c>
      <c r="M119" s="1">
        <f>VLOOKUP($K119,Paramètres!$A$27:$D$30,2,FALSE)</f>
        <v>0.33</v>
      </c>
      <c r="N119" s="1">
        <f>VLOOKUP($K119,Paramètres!$A$27:$D$30,3,FALSE)</f>
        <v>0.35</v>
      </c>
      <c r="O119" s="1">
        <f>VLOOKUP($K119,Paramètres!$A$27:$D$30,4,FALSE)</f>
        <v>0.32</v>
      </c>
      <c r="P119">
        <f>_xlfn.IFNA(VLOOKUP($K119,Paramètres!$A$38:$C$41,2,FALSE),"")</f>
        <v>4</v>
      </c>
      <c r="Q119">
        <f>_xlfn.IFNA(VLOOKUP($K119,Paramètres!$A$38:$C$41,3,FALSE),"")</f>
        <v>5</v>
      </c>
      <c r="R119">
        <v>66</v>
      </c>
      <c r="S119" t="b">
        <v>0</v>
      </c>
      <c r="T119">
        <v>2</v>
      </c>
      <c r="Y119" s="17"/>
      <c r="Z119" s="17"/>
      <c r="AA119" s="17"/>
      <c r="AB119" s="17"/>
    </row>
    <row r="120" spans="1:28" x14ac:dyDescent="0.3">
      <c r="A120" s="10" t="s">
        <v>280</v>
      </c>
      <c r="B120" s="10" t="s">
        <v>281</v>
      </c>
      <c r="C120" s="10" t="s">
        <v>52</v>
      </c>
      <c r="D120" s="15">
        <v>6776</v>
      </c>
      <c r="E120" s="17">
        <v>26.412478</v>
      </c>
      <c r="F120" s="17">
        <v>104.97488977821888</v>
      </c>
      <c r="G120" s="17">
        <v>35.411347952533319</v>
      </c>
      <c r="H120" s="17">
        <v>33.903338562417254</v>
      </c>
      <c r="I120" s="17">
        <v>21.167556259083092</v>
      </c>
      <c r="J120" s="17">
        <v>14.492647004185223</v>
      </c>
      <c r="K120" s="12" t="s">
        <v>682</v>
      </c>
      <c r="L120" s="1">
        <f>VLOOKUP(K120,Paramètres!$A$18:$B$21,2,FALSE)</f>
        <v>0.21</v>
      </c>
      <c r="M120" s="1">
        <f>VLOOKUP($K120,Paramètres!$A$27:$D$30,2,FALSE)</f>
        <v>0.33</v>
      </c>
      <c r="N120" s="1">
        <f>VLOOKUP($K120,Paramètres!$A$27:$D$30,3,FALSE)</f>
        <v>0.35</v>
      </c>
      <c r="O120" s="1">
        <f>VLOOKUP($K120,Paramètres!$A$27:$D$30,4,FALSE)</f>
        <v>0.32</v>
      </c>
      <c r="P120">
        <f>_xlfn.IFNA(VLOOKUP($K120,Paramètres!$A$38:$C$41,2,FALSE),"")</f>
        <v>4</v>
      </c>
      <c r="Q120">
        <f>_xlfn.IFNA(VLOOKUP($K120,Paramètres!$A$38:$C$41,3,FALSE),"")</f>
        <v>5</v>
      </c>
      <c r="R120">
        <v>89</v>
      </c>
      <c r="S120" t="b">
        <v>0</v>
      </c>
      <c r="T120">
        <v>2</v>
      </c>
      <c r="Y120" s="17"/>
      <c r="Z120" s="17"/>
      <c r="AA120" s="17"/>
      <c r="AB120" s="17"/>
    </row>
    <row r="121" spans="1:28" x14ac:dyDescent="0.3">
      <c r="A121" s="10" t="s">
        <v>282</v>
      </c>
      <c r="B121" s="11" t="s">
        <v>283</v>
      </c>
      <c r="C121" s="10" t="s">
        <v>52</v>
      </c>
      <c r="D121" s="15">
        <v>1743</v>
      </c>
      <c r="E121" s="17">
        <v>58.420259000000001</v>
      </c>
      <c r="F121" s="17">
        <v>298.39075063325089</v>
      </c>
      <c r="G121" s="17">
        <v>277.89255630645692</v>
      </c>
      <c r="H121" s="17">
        <v>0</v>
      </c>
      <c r="I121" s="17">
        <v>20.498194326793993</v>
      </c>
      <c r="J121" s="17">
        <v>0</v>
      </c>
      <c r="K121" s="12" t="s">
        <v>682</v>
      </c>
      <c r="L121" s="1">
        <f>VLOOKUP(K121,Paramètres!$A$18:$B$21,2,FALSE)</f>
        <v>0.21</v>
      </c>
      <c r="M121" s="1">
        <f>VLOOKUP($K121,Paramètres!$A$27:$D$30,2,FALSE)</f>
        <v>0.33</v>
      </c>
      <c r="N121" s="1">
        <f>VLOOKUP($K121,Paramètres!$A$27:$D$30,3,FALSE)</f>
        <v>0.35</v>
      </c>
      <c r="O121" s="1">
        <f>VLOOKUP($K121,Paramètres!$A$27:$D$30,4,FALSE)</f>
        <v>0.32</v>
      </c>
      <c r="P121">
        <f>_xlfn.IFNA(VLOOKUP($K121,Paramètres!$A$38:$C$41,2,FALSE),"")</f>
        <v>4</v>
      </c>
      <c r="Q121">
        <f>_xlfn.IFNA(VLOOKUP($K121,Paramètres!$A$38:$C$41,3,FALSE),"")</f>
        <v>5</v>
      </c>
      <c r="R121">
        <v>105</v>
      </c>
      <c r="S121" t="b">
        <v>1</v>
      </c>
      <c r="T121">
        <v>3</v>
      </c>
      <c r="Y121" s="17"/>
      <c r="Z121" s="17"/>
      <c r="AA121" s="17"/>
      <c r="AB121" s="17"/>
    </row>
    <row r="122" spans="1:28" x14ac:dyDescent="0.3">
      <c r="A122" s="10" t="s">
        <v>731</v>
      </c>
      <c r="B122" s="10" t="s">
        <v>284</v>
      </c>
      <c r="C122" s="10" t="s">
        <v>52</v>
      </c>
      <c r="D122" s="15">
        <v>5599</v>
      </c>
      <c r="E122" s="17">
        <v>38.409931</v>
      </c>
      <c r="F122" s="17">
        <v>177.29767245417176</v>
      </c>
      <c r="G122" s="17">
        <v>97.828178878396002</v>
      </c>
      <c r="H122" s="17">
        <v>30.169823515999948</v>
      </c>
      <c r="I122" s="17">
        <v>49.299670059775799</v>
      </c>
      <c r="J122" s="17">
        <v>0</v>
      </c>
      <c r="K122" s="12" t="s">
        <v>682</v>
      </c>
      <c r="L122" s="1">
        <f>VLOOKUP(K122,Paramètres!$A$18:$B$21,2,FALSE)</f>
        <v>0.21</v>
      </c>
      <c r="M122" s="1">
        <f>VLOOKUP($K122,Paramètres!$A$27:$D$30,2,FALSE)</f>
        <v>0.33</v>
      </c>
      <c r="N122" s="1">
        <f>VLOOKUP($K122,Paramètres!$A$27:$D$30,3,FALSE)</f>
        <v>0.35</v>
      </c>
      <c r="O122" s="1">
        <f>VLOOKUP($K122,Paramètres!$A$27:$D$30,4,FALSE)</f>
        <v>0.32</v>
      </c>
      <c r="P122">
        <f>_xlfn.IFNA(VLOOKUP($K122,Paramètres!$A$38:$C$41,2,FALSE),"")</f>
        <v>4</v>
      </c>
      <c r="Q122">
        <f>_xlfn.IFNA(VLOOKUP($K122,Paramètres!$A$38:$C$41,3,FALSE),"")</f>
        <v>5</v>
      </c>
      <c r="R122">
        <v>62</v>
      </c>
      <c r="S122" t="b">
        <v>1</v>
      </c>
      <c r="T122">
        <v>2</v>
      </c>
      <c r="Y122" s="17"/>
      <c r="Z122" s="17"/>
      <c r="AA122" s="17"/>
      <c r="AB122" s="17"/>
    </row>
    <row r="123" spans="1:28" x14ac:dyDescent="0.3">
      <c r="A123" s="10" t="s">
        <v>285</v>
      </c>
      <c r="B123" s="10" t="s">
        <v>286</v>
      </c>
      <c r="C123" s="10" t="s">
        <v>52</v>
      </c>
      <c r="D123" s="15">
        <v>40834</v>
      </c>
      <c r="E123" s="17">
        <v>23.358457000000001</v>
      </c>
      <c r="F123" s="17">
        <v>276.11037633275578</v>
      </c>
      <c r="G123" s="17">
        <v>91.675687785519841</v>
      </c>
      <c r="H123" s="17">
        <v>21.834323166954626</v>
      </c>
      <c r="I123" s="17">
        <v>112.08691543807794</v>
      </c>
      <c r="J123" s="17">
        <v>50.513449942203337</v>
      </c>
      <c r="K123" s="12" t="s">
        <v>683</v>
      </c>
      <c r="L123" s="1">
        <f>VLOOKUP(K123,Paramètres!$A$18:$B$21,2,FALSE)</f>
        <v>0.34</v>
      </c>
      <c r="M123" s="1">
        <f>VLOOKUP($K123,Paramètres!$A$27:$D$30,2,FALSE)</f>
        <v>0.37</v>
      </c>
      <c r="N123" s="1">
        <f>VLOOKUP($K123,Paramètres!$A$27:$D$30,3,FALSE)</f>
        <v>0.39</v>
      </c>
      <c r="O123" s="1">
        <f>VLOOKUP($K123,Paramètres!$A$27:$D$30,4,FALSE)</f>
        <v>0.24</v>
      </c>
      <c r="P123">
        <f>_xlfn.IFNA(VLOOKUP($K123,Paramètres!$A$38:$C$41,2,FALSE),"")</f>
        <v>2</v>
      </c>
      <c r="Q123">
        <f>_xlfn.IFNA(VLOOKUP($K123,Paramètres!$A$38:$C$41,3,FALSE),"")</f>
        <v>15</v>
      </c>
      <c r="R123">
        <v>416</v>
      </c>
      <c r="S123" t="b">
        <v>1</v>
      </c>
      <c r="T123">
        <v>11</v>
      </c>
      <c r="Y123" s="17"/>
      <c r="Z123" s="17"/>
      <c r="AA123" s="17"/>
      <c r="AB123" s="17"/>
    </row>
    <row r="124" spans="1:28" x14ac:dyDescent="0.3">
      <c r="A124" s="10" t="s">
        <v>287</v>
      </c>
      <c r="B124" s="10" t="s">
        <v>288</v>
      </c>
      <c r="C124" s="10" t="s">
        <v>52</v>
      </c>
      <c r="D124" s="15">
        <v>17784</v>
      </c>
      <c r="E124" s="17">
        <v>56.839730000000003</v>
      </c>
      <c r="F124" s="17">
        <v>340.39746572266762</v>
      </c>
      <c r="G124" s="17">
        <v>2.4956503767086433</v>
      </c>
      <c r="H124" s="17">
        <v>246.38757952585843</v>
      </c>
      <c r="I124" s="17">
        <v>44.420332520571684</v>
      </c>
      <c r="J124" s="17">
        <v>47.093903299528876</v>
      </c>
      <c r="K124" s="12" t="s">
        <v>682</v>
      </c>
      <c r="L124" s="1">
        <f>VLOOKUP(K124,Paramètres!$A$18:$B$21,2,FALSE)</f>
        <v>0.21</v>
      </c>
      <c r="M124" s="1">
        <f>VLOOKUP($K124,Paramètres!$A$27:$D$30,2,FALSE)</f>
        <v>0.33</v>
      </c>
      <c r="N124" s="1">
        <f>VLOOKUP($K124,Paramètres!$A$27:$D$30,3,FALSE)</f>
        <v>0.35</v>
      </c>
      <c r="O124" s="1">
        <f>VLOOKUP($K124,Paramètres!$A$27:$D$30,4,FALSE)</f>
        <v>0.32</v>
      </c>
      <c r="P124">
        <f>_xlfn.IFNA(VLOOKUP($K124,Paramètres!$A$38:$C$41,2,FALSE),"")</f>
        <v>4</v>
      </c>
      <c r="Q124">
        <f>_xlfn.IFNA(VLOOKUP($K124,Paramètres!$A$38:$C$41,3,FALSE),"")</f>
        <v>5</v>
      </c>
      <c r="R124">
        <v>323</v>
      </c>
      <c r="S124" t="b">
        <v>1</v>
      </c>
      <c r="T124">
        <v>9</v>
      </c>
      <c r="Y124" s="17"/>
      <c r="Z124" s="17"/>
      <c r="AA124" s="17"/>
      <c r="AB124" s="17"/>
    </row>
    <row r="125" spans="1:28" x14ac:dyDescent="0.3">
      <c r="A125" s="10" t="s">
        <v>289</v>
      </c>
      <c r="B125" s="10" t="s">
        <v>290</v>
      </c>
      <c r="C125" s="10" t="s">
        <v>52</v>
      </c>
      <c r="D125" s="15">
        <v>5104</v>
      </c>
      <c r="E125" s="17">
        <v>44.270946000000002</v>
      </c>
      <c r="F125" s="17">
        <v>160.72686517727132</v>
      </c>
      <c r="G125" s="17">
        <v>92.499570761205831</v>
      </c>
      <c r="H125" s="17">
        <v>27.632924903204533</v>
      </c>
      <c r="I125" s="17">
        <v>40.594369512860958</v>
      </c>
      <c r="J125" s="17">
        <v>0</v>
      </c>
      <c r="K125" s="12" t="s">
        <v>682</v>
      </c>
      <c r="L125" s="1">
        <f>VLOOKUP(K125,Paramètres!$A$18:$B$21,2,FALSE)</f>
        <v>0.21</v>
      </c>
      <c r="M125" s="1">
        <f>VLOOKUP($K125,Paramètres!$A$27:$D$30,2,FALSE)</f>
        <v>0.33</v>
      </c>
      <c r="N125" s="1">
        <f>VLOOKUP($K125,Paramètres!$A$27:$D$30,3,FALSE)</f>
        <v>0.35</v>
      </c>
      <c r="O125" s="1">
        <f>VLOOKUP($K125,Paramètres!$A$27:$D$30,4,FALSE)</f>
        <v>0.32</v>
      </c>
      <c r="P125">
        <f>_xlfn.IFNA(VLOOKUP($K125,Paramètres!$A$38:$C$41,2,FALSE),"")</f>
        <v>4</v>
      </c>
      <c r="Q125">
        <f>_xlfn.IFNA(VLOOKUP($K125,Paramètres!$A$38:$C$41,3,FALSE),"")</f>
        <v>5</v>
      </c>
      <c r="R125">
        <v>89</v>
      </c>
      <c r="S125" t="b">
        <v>0</v>
      </c>
      <c r="T125">
        <v>2</v>
      </c>
      <c r="Y125" s="17"/>
      <c r="Z125" s="17"/>
      <c r="AA125" s="17"/>
      <c r="AB125" s="17"/>
    </row>
    <row r="126" spans="1:28" x14ac:dyDescent="0.3">
      <c r="A126" s="10" t="s">
        <v>291</v>
      </c>
      <c r="B126" s="10" t="s">
        <v>292</v>
      </c>
      <c r="C126" s="10" t="s">
        <v>52</v>
      </c>
      <c r="D126" s="15">
        <v>5682</v>
      </c>
      <c r="E126" s="17">
        <v>57.023235999999997</v>
      </c>
      <c r="F126" s="17">
        <v>244.00097593188491</v>
      </c>
      <c r="G126" s="17">
        <v>186.63347288066191</v>
      </c>
      <c r="H126" s="17">
        <v>0</v>
      </c>
      <c r="I126" s="17">
        <v>31.445339026141728</v>
      </c>
      <c r="J126" s="17">
        <v>25.922164025081276</v>
      </c>
      <c r="K126" s="12" t="s">
        <v>682</v>
      </c>
      <c r="L126" s="1">
        <f>VLOOKUP(K126,Paramètres!$A$18:$B$21,2,FALSE)</f>
        <v>0.21</v>
      </c>
      <c r="M126" s="1">
        <f>VLOOKUP($K126,Paramètres!$A$27:$D$30,2,FALSE)</f>
        <v>0.33</v>
      </c>
      <c r="N126" s="1">
        <f>VLOOKUP($K126,Paramètres!$A$27:$D$30,3,FALSE)</f>
        <v>0.35</v>
      </c>
      <c r="O126" s="1">
        <f>VLOOKUP($K126,Paramètres!$A$27:$D$30,4,FALSE)</f>
        <v>0.32</v>
      </c>
      <c r="P126">
        <f>_xlfn.IFNA(VLOOKUP($K126,Paramètres!$A$38:$C$41,2,FALSE),"")</f>
        <v>4</v>
      </c>
      <c r="Q126">
        <f>_xlfn.IFNA(VLOOKUP($K126,Paramètres!$A$38:$C$41,3,FALSE),"")</f>
        <v>5</v>
      </c>
      <c r="R126">
        <v>110</v>
      </c>
      <c r="S126" t="b">
        <v>0</v>
      </c>
      <c r="T126">
        <v>3</v>
      </c>
      <c r="Y126" s="17"/>
      <c r="Z126" s="17"/>
      <c r="AA126" s="17"/>
      <c r="AB126" s="17"/>
    </row>
    <row r="127" spans="1:28" x14ac:dyDescent="0.3">
      <c r="A127" s="10" t="s">
        <v>293</v>
      </c>
      <c r="B127" s="10" t="s">
        <v>294</v>
      </c>
      <c r="C127" s="10" t="s">
        <v>52</v>
      </c>
      <c r="D127" s="15">
        <v>5336</v>
      </c>
      <c r="E127" s="17">
        <v>167.41077300000001</v>
      </c>
      <c r="F127" s="17">
        <v>720.03557418607681</v>
      </c>
      <c r="G127" s="17">
        <v>646.7206356225546</v>
      </c>
      <c r="H127" s="17">
        <v>38.431091378285366</v>
      </c>
      <c r="I127" s="17">
        <v>27.916127052573472</v>
      </c>
      <c r="J127" s="17">
        <v>6.967720132663386</v>
      </c>
      <c r="K127" s="12" t="s">
        <v>682</v>
      </c>
      <c r="L127" s="1">
        <f>VLOOKUP(K127,Paramètres!$A$18:$B$21,2,FALSE)</f>
        <v>0.21</v>
      </c>
      <c r="M127" s="1">
        <f>VLOOKUP($K127,Paramètres!$A$27:$D$30,2,FALSE)</f>
        <v>0.33</v>
      </c>
      <c r="N127" s="1">
        <f>VLOOKUP($K127,Paramètres!$A$27:$D$30,3,FALSE)</f>
        <v>0.35</v>
      </c>
      <c r="O127" s="1">
        <f>VLOOKUP($K127,Paramètres!$A$27:$D$30,4,FALSE)</f>
        <v>0.32</v>
      </c>
      <c r="P127">
        <f>_xlfn.IFNA(VLOOKUP($K127,Paramètres!$A$38:$C$41,2,FALSE),"")</f>
        <v>4</v>
      </c>
      <c r="Q127">
        <f>_xlfn.IFNA(VLOOKUP($K127,Paramètres!$A$38:$C$41,3,FALSE),"")</f>
        <v>5</v>
      </c>
      <c r="R127">
        <v>196</v>
      </c>
      <c r="S127" t="b">
        <v>0</v>
      </c>
      <c r="T127">
        <v>5</v>
      </c>
      <c r="Y127" s="17"/>
      <c r="Z127" s="17"/>
      <c r="AA127" s="17"/>
      <c r="AB127" s="17"/>
    </row>
    <row r="128" spans="1:28" x14ac:dyDescent="0.3">
      <c r="A128" s="10" t="s">
        <v>295</v>
      </c>
      <c r="B128" s="10" t="s">
        <v>296</v>
      </c>
      <c r="C128" s="10" t="s">
        <v>52</v>
      </c>
      <c r="D128" s="15">
        <v>5215</v>
      </c>
      <c r="E128" s="17">
        <v>122.84779</v>
      </c>
      <c r="F128" s="17">
        <v>448.29029290094923</v>
      </c>
      <c r="G128" s="17">
        <v>386.33798396606483</v>
      </c>
      <c r="H128" s="17">
        <v>12.670629078867256</v>
      </c>
      <c r="I128" s="17">
        <v>42.276431820480461</v>
      </c>
      <c r="J128" s="17">
        <v>7.00524803553669</v>
      </c>
      <c r="K128" s="12" t="s">
        <v>682</v>
      </c>
      <c r="L128" s="1">
        <f>VLOOKUP(K128,Paramètres!$A$18:$B$21,2,FALSE)</f>
        <v>0.21</v>
      </c>
      <c r="M128" s="1">
        <f>VLOOKUP($K128,Paramètres!$A$27:$D$30,2,FALSE)</f>
        <v>0.33</v>
      </c>
      <c r="N128" s="1">
        <f>VLOOKUP($K128,Paramètres!$A$27:$D$30,3,FALSE)</f>
        <v>0.35</v>
      </c>
      <c r="O128" s="1">
        <f>VLOOKUP($K128,Paramètres!$A$27:$D$30,4,FALSE)</f>
        <v>0.32</v>
      </c>
      <c r="P128">
        <f>_xlfn.IFNA(VLOOKUP($K128,Paramètres!$A$38:$C$41,2,FALSE),"")</f>
        <v>4</v>
      </c>
      <c r="Q128">
        <f>_xlfn.IFNA(VLOOKUP($K128,Paramètres!$A$38:$C$41,3,FALSE),"")</f>
        <v>5</v>
      </c>
      <c r="R128">
        <v>133</v>
      </c>
      <c r="S128" t="b">
        <v>1</v>
      </c>
      <c r="T128">
        <v>4</v>
      </c>
      <c r="Y128" s="17"/>
      <c r="Z128" s="17"/>
      <c r="AA128" s="17"/>
      <c r="AB128" s="17"/>
    </row>
    <row r="129" spans="1:28" x14ac:dyDescent="0.3">
      <c r="A129" s="10" t="s">
        <v>297</v>
      </c>
      <c r="B129" s="10" t="s">
        <v>298</v>
      </c>
      <c r="C129" s="10" t="s">
        <v>52</v>
      </c>
      <c r="D129" s="15">
        <v>21850</v>
      </c>
      <c r="E129" s="17">
        <v>47.636285999999998</v>
      </c>
      <c r="F129" s="17">
        <v>301.09490271410868</v>
      </c>
      <c r="G129" s="17">
        <v>124.06368372027153</v>
      </c>
      <c r="H129" s="17">
        <v>68.096299826544552</v>
      </c>
      <c r="I129" s="17">
        <v>41.363925518868342</v>
      </c>
      <c r="J129" s="17">
        <v>67.570993648424249</v>
      </c>
      <c r="K129" s="12" t="s">
        <v>681</v>
      </c>
      <c r="L129" s="1">
        <f>VLOOKUP(K129,Paramètres!$A$18:$B$21,2,FALSE)</f>
        <v>0.34</v>
      </c>
      <c r="M129" s="1">
        <f>VLOOKUP($K129,Paramètres!$A$27:$D$30,2,FALSE)</f>
        <v>0.26</v>
      </c>
      <c r="N129" s="1">
        <f>VLOOKUP($K129,Paramètres!$A$27:$D$30,3,FALSE)</f>
        <v>0.33</v>
      </c>
      <c r="O129" s="1">
        <f>VLOOKUP($K129,Paramètres!$A$27:$D$30,4,FALSE)</f>
        <v>0.41</v>
      </c>
      <c r="P129">
        <f>_xlfn.IFNA(VLOOKUP($K129,Paramètres!$A$38:$C$41,2,FALSE),"")</f>
        <v>3</v>
      </c>
      <c r="Q129">
        <f>_xlfn.IFNA(VLOOKUP($K129,Paramètres!$A$38:$C$41,3,FALSE),"")</f>
        <v>5</v>
      </c>
      <c r="R129">
        <v>237</v>
      </c>
      <c r="S129" t="b">
        <v>1</v>
      </c>
      <c r="T129">
        <v>6</v>
      </c>
      <c r="Y129" s="17"/>
      <c r="Z129" s="17"/>
      <c r="AA129" s="17"/>
      <c r="AB129" s="17"/>
    </row>
    <row r="130" spans="1:28" x14ac:dyDescent="0.3">
      <c r="A130" s="10" t="s">
        <v>299</v>
      </c>
      <c r="B130" s="10" t="s">
        <v>300</v>
      </c>
      <c r="C130" s="10" t="s">
        <v>52</v>
      </c>
      <c r="D130" s="15">
        <v>5658</v>
      </c>
      <c r="E130" s="17">
        <v>38.908150999999997</v>
      </c>
      <c r="F130" s="17">
        <v>171.78002501907787</v>
      </c>
      <c r="G130" s="17">
        <v>94.085662364976073</v>
      </c>
      <c r="H130" s="17">
        <v>30.070539858560956</v>
      </c>
      <c r="I130" s="17">
        <v>40.347884186973481</v>
      </c>
      <c r="J130" s="17">
        <v>7.275938608567353</v>
      </c>
      <c r="K130" s="12" t="s">
        <v>682</v>
      </c>
      <c r="L130" s="1">
        <f>VLOOKUP(K130,Paramètres!$A$18:$B$21,2,FALSE)</f>
        <v>0.21</v>
      </c>
      <c r="M130" s="1">
        <f>VLOOKUP($K130,Paramètres!$A$27:$D$30,2,FALSE)</f>
        <v>0.33</v>
      </c>
      <c r="N130" s="1">
        <f>VLOOKUP($K130,Paramètres!$A$27:$D$30,3,FALSE)</f>
        <v>0.35</v>
      </c>
      <c r="O130" s="1">
        <f>VLOOKUP($K130,Paramètres!$A$27:$D$30,4,FALSE)</f>
        <v>0.32</v>
      </c>
      <c r="P130">
        <f>_xlfn.IFNA(VLOOKUP($K130,Paramètres!$A$38:$C$41,2,FALSE),"")</f>
        <v>4</v>
      </c>
      <c r="Q130">
        <f>_xlfn.IFNA(VLOOKUP($K130,Paramètres!$A$38:$C$41,3,FALSE),"")</f>
        <v>5</v>
      </c>
      <c r="R130">
        <v>96</v>
      </c>
      <c r="S130" t="b">
        <v>0</v>
      </c>
      <c r="T130">
        <v>3</v>
      </c>
      <c r="Y130" s="17"/>
      <c r="Z130" s="17"/>
      <c r="AA130" s="17"/>
      <c r="AB130" s="17"/>
    </row>
    <row r="131" spans="1:28" x14ac:dyDescent="0.3">
      <c r="A131" s="10" t="s">
        <v>301</v>
      </c>
      <c r="B131" s="10" t="s">
        <v>302</v>
      </c>
      <c r="C131" s="10" t="s">
        <v>52</v>
      </c>
      <c r="D131" s="15">
        <v>6963</v>
      </c>
      <c r="E131" s="17">
        <v>35.027729000000001</v>
      </c>
      <c r="F131" s="17">
        <v>177.01894747898623</v>
      </c>
      <c r="G131" s="17">
        <v>45.562452891827064</v>
      </c>
      <c r="H131" s="17">
        <v>100.59706845558334</v>
      </c>
      <c r="I131" s="17">
        <v>5.5721644230899656</v>
      </c>
      <c r="J131" s="17">
        <v>25.287261708485868</v>
      </c>
      <c r="K131" s="12" t="s">
        <v>682</v>
      </c>
      <c r="L131" s="1">
        <f>VLOOKUP(K131,Paramètres!$A$18:$B$21,2,FALSE)</f>
        <v>0.21</v>
      </c>
      <c r="M131" s="1">
        <f>VLOOKUP($K131,Paramètres!$A$27:$D$30,2,FALSE)</f>
        <v>0.33</v>
      </c>
      <c r="N131" s="1">
        <f>VLOOKUP($K131,Paramètres!$A$27:$D$30,3,FALSE)</f>
        <v>0.35</v>
      </c>
      <c r="O131" s="1">
        <f>VLOOKUP($K131,Paramètres!$A$27:$D$30,4,FALSE)</f>
        <v>0.32</v>
      </c>
      <c r="P131">
        <f>_xlfn.IFNA(VLOOKUP($K131,Paramètres!$A$38:$C$41,2,FALSE),"")</f>
        <v>4</v>
      </c>
      <c r="Q131">
        <f>_xlfn.IFNA(VLOOKUP($K131,Paramètres!$A$38:$C$41,3,FALSE),"")</f>
        <v>5</v>
      </c>
      <c r="R131">
        <v>167</v>
      </c>
      <c r="S131" t="b">
        <v>1</v>
      </c>
      <c r="T131">
        <v>5</v>
      </c>
      <c r="Y131" s="17"/>
      <c r="Z131" s="17"/>
      <c r="AA131" s="17"/>
      <c r="AB131" s="17"/>
    </row>
    <row r="132" spans="1:28" x14ac:dyDescent="0.3">
      <c r="A132" s="10" t="s">
        <v>303</v>
      </c>
      <c r="B132" s="10" t="s">
        <v>304</v>
      </c>
      <c r="C132" s="10" t="s">
        <v>52</v>
      </c>
      <c r="D132" s="15">
        <v>8770</v>
      </c>
      <c r="E132" s="17">
        <v>106.93537000000001</v>
      </c>
      <c r="F132" s="17">
        <v>539.88981771964575</v>
      </c>
      <c r="G132" s="17">
        <v>414.97769453257115</v>
      </c>
      <c r="H132" s="17">
        <v>60.141593216339771</v>
      </c>
      <c r="I132" s="17">
        <v>47.545935948743868</v>
      </c>
      <c r="J132" s="17">
        <v>17.224594021990942</v>
      </c>
      <c r="K132" s="12" t="s">
        <v>682</v>
      </c>
      <c r="L132" s="1">
        <f>VLOOKUP(K132,Paramètres!$A$18:$B$21,2,FALSE)</f>
        <v>0.21</v>
      </c>
      <c r="M132" s="1">
        <f>VLOOKUP($K132,Paramètres!$A$27:$D$30,2,FALSE)</f>
        <v>0.33</v>
      </c>
      <c r="N132" s="1">
        <f>VLOOKUP($K132,Paramètres!$A$27:$D$30,3,FALSE)</f>
        <v>0.35</v>
      </c>
      <c r="O132" s="1">
        <f>VLOOKUP($K132,Paramètres!$A$27:$D$30,4,FALSE)</f>
        <v>0.32</v>
      </c>
      <c r="P132">
        <f>_xlfn.IFNA(VLOOKUP($K132,Paramètres!$A$38:$C$41,2,FALSE),"")</f>
        <v>4</v>
      </c>
      <c r="Q132">
        <f>_xlfn.IFNA(VLOOKUP($K132,Paramètres!$A$38:$C$41,3,FALSE),"")</f>
        <v>5</v>
      </c>
      <c r="R132">
        <v>132</v>
      </c>
      <c r="S132" t="b">
        <v>1</v>
      </c>
      <c r="T132">
        <v>4</v>
      </c>
      <c r="Y132" s="17"/>
      <c r="Z132" s="17"/>
      <c r="AA132" s="17"/>
      <c r="AB132" s="17"/>
    </row>
    <row r="133" spans="1:28" x14ac:dyDescent="0.3">
      <c r="A133" s="10" t="s">
        <v>305</v>
      </c>
      <c r="B133" s="10" t="s">
        <v>306</v>
      </c>
      <c r="C133" s="10" t="s">
        <v>52</v>
      </c>
      <c r="D133" s="15">
        <v>19225</v>
      </c>
      <c r="E133" s="17">
        <v>46.943282000000004</v>
      </c>
      <c r="F133" s="17">
        <v>285.52931190846078</v>
      </c>
      <c r="G133" s="17">
        <v>98.93815388891322</v>
      </c>
      <c r="H133" s="17">
        <v>77.423172547542649</v>
      </c>
      <c r="I133" s="17">
        <v>35.736182382251208</v>
      </c>
      <c r="J133" s="17">
        <v>73.431803089753686</v>
      </c>
      <c r="K133" s="12" t="s">
        <v>682</v>
      </c>
      <c r="L133" s="1">
        <f>VLOOKUP(K133,Paramètres!$A$18:$B$21,2,FALSE)</f>
        <v>0.21</v>
      </c>
      <c r="M133" s="1">
        <f>VLOOKUP($K133,Paramètres!$A$27:$D$30,2,FALSE)</f>
        <v>0.33</v>
      </c>
      <c r="N133" s="1">
        <f>VLOOKUP($K133,Paramètres!$A$27:$D$30,3,FALSE)</f>
        <v>0.35</v>
      </c>
      <c r="O133" s="1">
        <f>VLOOKUP($K133,Paramètres!$A$27:$D$30,4,FALSE)</f>
        <v>0.32</v>
      </c>
      <c r="P133">
        <f>_xlfn.IFNA(VLOOKUP($K133,Paramètres!$A$38:$C$41,2,FALSE),"")</f>
        <v>4</v>
      </c>
      <c r="Q133">
        <f>_xlfn.IFNA(VLOOKUP($K133,Paramètres!$A$38:$C$41,3,FALSE),"")</f>
        <v>5</v>
      </c>
      <c r="R133">
        <v>200</v>
      </c>
      <c r="S133" t="b">
        <v>0</v>
      </c>
      <c r="T133">
        <v>5</v>
      </c>
      <c r="Y133" s="17"/>
      <c r="Z133" s="17"/>
      <c r="AA133" s="17"/>
      <c r="AB133" s="17"/>
    </row>
    <row r="134" spans="1:28" x14ac:dyDescent="0.3">
      <c r="A134" s="10" t="s">
        <v>307</v>
      </c>
      <c r="B134" s="10" t="s">
        <v>308</v>
      </c>
      <c r="C134" s="10" t="s">
        <v>52</v>
      </c>
      <c r="D134" s="15">
        <v>14935</v>
      </c>
      <c r="E134" s="17">
        <v>73.732072000000002</v>
      </c>
      <c r="F134" s="17">
        <v>341.03191475979241</v>
      </c>
      <c r="G134" s="17">
        <v>173.67213911473084</v>
      </c>
      <c r="H134" s="17">
        <v>57.961533524735302</v>
      </c>
      <c r="I134" s="17">
        <v>80.479833470846714</v>
      </c>
      <c r="J134" s="17">
        <v>28.918408649479574</v>
      </c>
      <c r="K134" s="12" t="s">
        <v>682</v>
      </c>
      <c r="L134" s="1">
        <f>VLOOKUP(K134,Paramètres!$A$18:$B$21,2,FALSE)</f>
        <v>0.21</v>
      </c>
      <c r="M134" s="1">
        <f>VLOOKUP($K134,Paramètres!$A$27:$D$30,2,FALSE)</f>
        <v>0.33</v>
      </c>
      <c r="N134" s="1">
        <f>VLOOKUP($K134,Paramètres!$A$27:$D$30,3,FALSE)</f>
        <v>0.35</v>
      </c>
      <c r="O134" s="1">
        <f>VLOOKUP($K134,Paramètres!$A$27:$D$30,4,FALSE)</f>
        <v>0.32</v>
      </c>
      <c r="P134">
        <f>_xlfn.IFNA(VLOOKUP($K134,Paramètres!$A$38:$C$41,2,FALSE),"")</f>
        <v>4</v>
      </c>
      <c r="Q134">
        <f>_xlfn.IFNA(VLOOKUP($K134,Paramètres!$A$38:$C$41,3,FALSE),"")</f>
        <v>5</v>
      </c>
      <c r="R134">
        <v>177</v>
      </c>
      <c r="S134" t="b">
        <v>0</v>
      </c>
      <c r="T134">
        <v>5</v>
      </c>
      <c r="Y134" s="17"/>
      <c r="Z134" s="17"/>
      <c r="AA134" s="17"/>
      <c r="AB134" s="17"/>
    </row>
    <row r="135" spans="1:28" x14ac:dyDescent="0.3">
      <c r="A135" s="10" t="s">
        <v>309</v>
      </c>
      <c r="B135" s="10" t="s">
        <v>310</v>
      </c>
      <c r="C135" s="10" t="s">
        <v>52</v>
      </c>
      <c r="D135" s="15">
        <v>9906</v>
      </c>
      <c r="E135" s="17">
        <v>35.474466999999997</v>
      </c>
      <c r="F135" s="17">
        <v>160.25458879694403</v>
      </c>
      <c r="G135" s="17">
        <v>50.616991484486306</v>
      </c>
      <c r="H135" s="17">
        <v>59.839455658066925</v>
      </c>
      <c r="I135" s="17">
        <v>9.7683948089089032</v>
      </c>
      <c r="J135" s="17">
        <v>40.029746845481903</v>
      </c>
      <c r="K135" s="12" t="s">
        <v>682</v>
      </c>
      <c r="L135" s="1">
        <f>VLOOKUP(K135,Paramètres!$A$18:$B$21,2,FALSE)</f>
        <v>0.21</v>
      </c>
      <c r="M135" s="1">
        <f>VLOOKUP($K135,Paramètres!$A$27:$D$30,2,FALSE)</f>
        <v>0.33</v>
      </c>
      <c r="N135" s="1">
        <f>VLOOKUP($K135,Paramètres!$A$27:$D$30,3,FALSE)</f>
        <v>0.35</v>
      </c>
      <c r="O135" s="1">
        <f>VLOOKUP($K135,Paramètres!$A$27:$D$30,4,FALSE)</f>
        <v>0.32</v>
      </c>
      <c r="P135">
        <f>_xlfn.IFNA(VLOOKUP($K135,Paramètres!$A$38:$C$41,2,FALSE),"")</f>
        <v>4</v>
      </c>
      <c r="Q135">
        <f>_xlfn.IFNA(VLOOKUP($K135,Paramètres!$A$38:$C$41,3,FALSE),"")</f>
        <v>5</v>
      </c>
      <c r="R135">
        <v>127</v>
      </c>
      <c r="S135" t="b">
        <v>0</v>
      </c>
      <c r="T135">
        <v>3</v>
      </c>
      <c r="Y135" s="17"/>
      <c r="Z135" s="17"/>
      <c r="AA135" s="17"/>
      <c r="AB135" s="17"/>
    </row>
    <row r="136" spans="1:28" x14ac:dyDescent="0.3">
      <c r="A136" s="10" t="s">
        <v>311</v>
      </c>
      <c r="B136" s="10" t="s">
        <v>312</v>
      </c>
      <c r="C136" s="10" t="s">
        <v>52</v>
      </c>
      <c r="D136" s="15">
        <v>10912</v>
      </c>
      <c r="E136" s="17">
        <v>58.176482999999998</v>
      </c>
      <c r="F136" s="17">
        <v>237.82027239729209</v>
      </c>
      <c r="G136" s="17">
        <v>100.47551849313012</v>
      </c>
      <c r="H136" s="17">
        <v>73.396671810491284</v>
      </c>
      <c r="I136" s="17">
        <v>59.0044090624598</v>
      </c>
      <c r="J136" s="17">
        <v>4.9436730312108663</v>
      </c>
      <c r="K136" s="12" t="s">
        <v>682</v>
      </c>
      <c r="L136" s="1">
        <f>VLOOKUP(K136,Paramètres!$A$18:$B$21,2,FALSE)</f>
        <v>0.21</v>
      </c>
      <c r="M136" s="1">
        <f>VLOOKUP($K136,Paramètres!$A$27:$D$30,2,FALSE)</f>
        <v>0.33</v>
      </c>
      <c r="N136" s="1">
        <f>VLOOKUP($K136,Paramètres!$A$27:$D$30,3,FALSE)</f>
        <v>0.35</v>
      </c>
      <c r="O136" s="1">
        <f>VLOOKUP($K136,Paramètres!$A$27:$D$30,4,FALSE)</f>
        <v>0.32</v>
      </c>
      <c r="P136">
        <f>_xlfn.IFNA(VLOOKUP($K136,Paramètres!$A$38:$C$41,2,FALSE),"")</f>
        <v>4</v>
      </c>
      <c r="Q136">
        <f>_xlfn.IFNA(VLOOKUP($K136,Paramètres!$A$38:$C$41,3,FALSE),"")</f>
        <v>5</v>
      </c>
      <c r="R136">
        <v>84</v>
      </c>
      <c r="S136" t="b">
        <v>1</v>
      </c>
      <c r="T136">
        <v>2</v>
      </c>
      <c r="Y136" s="17"/>
      <c r="Z136" s="17"/>
      <c r="AA136" s="17"/>
      <c r="AB136" s="17"/>
    </row>
    <row r="137" spans="1:28" x14ac:dyDescent="0.3">
      <c r="A137" s="10" t="s">
        <v>725</v>
      </c>
      <c r="B137" s="10" t="s">
        <v>315</v>
      </c>
      <c r="C137" s="10" t="s">
        <v>52</v>
      </c>
      <c r="D137" s="15">
        <v>11338</v>
      </c>
      <c r="E137" s="17">
        <v>18.039304999999999</v>
      </c>
      <c r="F137" s="17">
        <v>130.62254529291775</v>
      </c>
      <c r="G137" s="17">
        <v>0</v>
      </c>
      <c r="H137" s="17">
        <v>73.108929240802624</v>
      </c>
      <c r="I137" s="17">
        <v>14.515069305609877</v>
      </c>
      <c r="J137" s="17">
        <v>42.998546746505248</v>
      </c>
      <c r="K137" s="12" t="s">
        <v>682</v>
      </c>
      <c r="L137" s="1">
        <f>VLOOKUP(K137,Paramètres!$A$18:$B$21,2,FALSE)</f>
        <v>0.21</v>
      </c>
      <c r="M137" s="1">
        <f>VLOOKUP($K137,Paramètres!$A$27:$D$30,2,FALSE)</f>
        <v>0.33</v>
      </c>
      <c r="N137" s="1">
        <f>VLOOKUP($K137,Paramètres!$A$27:$D$30,3,FALSE)</f>
        <v>0.35</v>
      </c>
      <c r="O137" s="1">
        <f>VLOOKUP($K137,Paramètres!$A$27:$D$30,4,FALSE)</f>
        <v>0.32</v>
      </c>
      <c r="P137">
        <f>_xlfn.IFNA(VLOOKUP($K137,Paramètres!$A$38:$C$41,2,FALSE),"")</f>
        <v>4</v>
      </c>
      <c r="Q137">
        <f>_xlfn.IFNA(VLOOKUP($K137,Paramètres!$A$38:$C$41,3,FALSE),"")</f>
        <v>5</v>
      </c>
      <c r="R137">
        <v>115</v>
      </c>
      <c r="S137" t="b">
        <v>0</v>
      </c>
      <c r="T137">
        <v>3</v>
      </c>
      <c r="Y137" s="17"/>
      <c r="Z137" s="17"/>
      <c r="AA137" s="17"/>
      <c r="AB137" s="17"/>
    </row>
    <row r="138" spans="1:28" x14ac:dyDescent="0.3">
      <c r="A138" s="10" t="s">
        <v>313</v>
      </c>
      <c r="B138" s="10" t="s">
        <v>314</v>
      </c>
      <c r="C138" s="10" t="s">
        <v>52</v>
      </c>
      <c r="D138" s="15">
        <v>9397</v>
      </c>
      <c r="E138" s="17">
        <v>53.042625999999998</v>
      </c>
      <c r="F138" s="17">
        <v>218.00812387082405</v>
      </c>
      <c r="G138" s="17">
        <v>120.26605721498427</v>
      </c>
      <c r="H138" s="17">
        <v>37.695271992899464</v>
      </c>
      <c r="I138" s="17">
        <v>39.925116480841353</v>
      </c>
      <c r="J138" s="17">
        <v>20.12167818209895</v>
      </c>
      <c r="K138" s="12" t="s">
        <v>682</v>
      </c>
      <c r="L138" s="1">
        <f>VLOOKUP(K138,Paramètres!$A$18:$B$21,2,FALSE)</f>
        <v>0.21</v>
      </c>
      <c r="M138" s="1">
        <f>VLOOKUP($K138,Paramètres!$A$27:$D$30,2,FALSE)</f>
        <v>0.33</v>
      </c>
      <c r="N138" s="1">
        <f>VLOOKUP($K138,Paramètres!$A$27:$D$30,3,FALSE)</f>
        <v>0.35</v>
      </c>
      <c r="O138" s="1">
        <f>VLOOKUP($K138,Paramètres!$A$27:$D$30,4,FALSE)</f>
        <v>0.32</v>
      </c>
      <c r="P138">
        <f>_xlfn.IFNA(VLOOKUP($K138,Paramètres!$A$38:$C$41,2,FALSE),"")</f>
        <v>4</v>
      </c>
      <c r="Q138">
        <f>_xlfn.IFNA(VLOOKUP($K138,Paramètres!$A$38:$C$41,3,FALSE),"")</f>
        <v>5</v>
      </c>
      <c r="R138">
        <v>120</v>
      </c>
      <c r="S138" t="b">
        <v>0</v>
      </c>
      <c r="T138">
        <v>3</v>
      </c>
      <c r="Y138" s="17"/>
      <c r="Z138" s="17"/>
      <c r="AA138" s="17"/>
      <c r="AB138" s="17"/>
    </row>
    <row r="139" spans="1:28" x14ac:dyDescent="0.3">
      <c r="A139" s="10" t="s">
        <v>316</v>
      </c>
      <c r="B139" s="10" t="s">
        <v>317</v>
      </c>
      <c r="C139" s="10" t="s">
        <v>52</v>
      </c>
      <c r="D139" s="15">
        <v>7482</v>
      </c>
      <c r="E139" s="17">
        <v>15.517205000000001</v>
      </c>
      <c r="F139" s="17">
        <v>98.635203162949196</v>
      </c>
      <c r="G139" s="17">
        <v>40.595194952424784</v>
      </c>
      <c r="H139" s="17">
        <v>13.624702133946846</v>
      </c>
      <c r="I139" s="17">
        <v>20.314376188880043</v>
      </c>
      <c r="J139" s="17">
        <v>24.100929887697511</v>
      </c>
      <c r="K139" s="12" t="s">
        <v>682</v>
      </c>
      <c r="L139" s="1">
        <f>VLOOKUP(K139,Paramètres!$A$18:$B$21,2,FALSE)</f>
        <v>0.21</v>
      </c>
      <c r="M139" s="1">
        <f>VLOOKUP($K139,Paramètres!$A$27:$D$30,2,FALSE)</f>
        <v>0.33</v>
      </c>
      <c r="N139" s="1">
        <f>VLOOKUP($K139,Paramètres!$A$27:$D$30,3,FALSE)</f>
        <v>0.35</v>
      </c>
      <c r="O139" s="1">
        <f>VLOOKUP($K139,Paramètres!$A$27:$D$30,4,FALSE)</f>
        <v>0.32</v>
      </c>
      <c r="P139">
        <f>_xlfn.IFNA(VLOOKUP($K139,Paramètres!$A$38:$C$41,2,FALSE),"")</f>
        <v>4</v>
      </c>
      <c r="Q139">
        <f>_xlfn.IFNA(VLOOKUP($K139,Paramètres!$A$38:$C$41,3,FALSE),"")</f>
        <v>5</v>
      </c>
      <c r="R139">
        <v>142</v>
      </c>
      <c r="S139" t="b">
        <v>0</v>
      </c>
      <c r="T139">
        <v>4</v>
      </c>
      <c r="Y139" s="17"/>
      <c r="Z139" s="17"/>
      <c r="AA139" s="17"/>
      <c r="AB139" s="17"/>
    </row>
    <row r="140" spans="1:28" x14ac:dyDescent="0.3">
      <c r="A140" s="10" t="s">
        <v>728</v>
      </c>
      <c r="B140" s="10" t="s">
        <v>318</v>
      </c>
      <c r="C140" s="10" t="s">
        <v>52</v>
      </c>
      <c r="D140" s="15">
        <v>81674</v>
      </c>
      <c r="E140" s="17">
        <v>64.557282000000001</v>
      </c>
      <c r="F140" s="17">
        <v>676.04605496715328</v>
      </c>
      <c r="G140" s="17">
        <v>218.2867159198928</v>
      </c>
      <c r="H140" s="17">
        <v>96.302405767355467</v>
      </c>
      <c r="I140" s="17">
        <v>205.76959037739809</v>
      </c>
      <c r="J140" s="17">
        <v>155.68734290250694</v>
      </c>
      <c r="K140" s="12" t="s">
        <v>683</v>
      </c>
      <c r="L140" s="1">
        <f>VLOOKUP(K140,Paramètres!$A$18:$B$21,2,FALSE)</f>
        <v>0.34</v>
      </c>
      <c r="M140" s="1">
        <f>VLOOKUP($K140,Paramètres!$A$27:$D$30,2,FALSE)</f>
        <v>0.37</v>
      </c>
      <c r="N140" s="1">
        <f>VLOOKUP($K140,Paramètres!$A$27:$D$30,3,FALSE)</f>
        <v>0.39</v>
      </c>
      <c r="O140" s="1">
        <f>VLOOKUP($K140,Paramètres!$A$27:$D$30,4,FALSE)</f>
        <v>0.24</v>
      </c>
      <c r="P140">
        <f>_xlfn.IFNA(VLOOKUP($K140,Paramètres!$A$38:$C$41,2,FALSE),"")</f>
        <v>2</v>
      </c>
      <c r="Q140">
        <f>_xlfn.IFNA(VLOOKUP($K140,Paramètres!$A$38:$C$41,3,FALSE),"")</f>
        <v>15</v>
      </c>
      <c r="R140">
        <v>485</v>
      </c>
      <c r="S140" t="b">
        <v>1</v>
      </c>
      <c r="T140">
        <v>13</v>
      </c>
      <c r="Y140" s="17"/>
      <c r="Z140" s="17"/>
      <c r="AA140" s="17"/>
      <c r="AB140" s="17"/>
    </row>
    <row r="141" spans="1:28" x14ac:dyDescent="0.3">
      <c r="A141" s="10" t="s">
        <v>319</v>
      </c>
      <c r="B141" s="10" t="s">
        <v>320</v>
      </c>
      <c r="C141" s="10" t="s">
        <v>52</v>
      </c>
      <c r="D141" s="15">
        <v>4067</v>
      </c>
      <c r="E141" s="17">
        <v>148.52672999999999</v>
      </c>
      <c r="F141" s="17">
        <v>675.84899679022499</v>
      </c>
      <c r="G141" s="17">
        <v>587.36543589606288</v>
      </c>
      <c r="H141" s="17">
        <v>73.461494006505589</v>
      </c>
      <c r="I141" s="17">
        <v>15.022066887656429</v>
      </c>
      <c r="J141" s="17">
        <v>0</v>
      </c>
      <c r="K141" s="12" t="s">
        <v>681</v>
      </c>
      <c r="L141" s="1">
        <f>VLOOKUP(K141,Paramètres!$A$18:$B$21,2,FALSE)</f>
        <v>0.34</v>
      </c>
      <c r="M141" s="1">
        <f>VLOOKUP($K141,Paramètres!$A$27:$D$30,2,FALSE)</f>
        <v>0.26</v>
      </c>
      <c r="N141" s="1">
        <f>VLOOKUP($K141,Paramètres!$A$27:$D$30,3,FALSE)</f>
        <v>0.33</v>
      </c>
      <c r="O141" s="1">
        <f>VLOOKUP($K141,Paramètres!$A$27:$D$30,4,FALSE)</f>
        <v>0.41</v>
      </c>
      <c r="P141">
        <f>_xlfn.IFNA(VLOOKUP($K141,Paramètres!$A$38:$C$41,2,FALSE),"")</f>
        <v>3</v>
      </c>
      <c r="Q141">
        <f>_xlfn.IFNA(VLOOKUP($K141,Paramètres!$A$38:$C$41,3,FALSE),"")</f>
        <v>5</v>
      </c>
      <c r="R141">
        <v>202</v>
      </c>
      <c r="S141" t="b">
        <v>1</v>
      </c>
      <c r="T141">
        <v>5</v>
      </c>
      <c r="Y141" s="17"/>
      <c r="Z141" s="17"/>
      <c r="AA141" s="17"/>
      <c r="AB141" s="17"/>
    </row>
    <row r="142" spans="1:28" x14ac:dyDescent="0.3">
      <c r="A142" s="10" t="s">
        <v>321</v>
      </c>
      <c r="B142" s="10" t="s">
        <v>322</v>
      </c>
      <c r="C142" s="10" t="s">
        <v>52</v>
      </c>
      <c r="D142" s="15">
        <v>14175</v>
      </c>
      <c r="E142" s="17">
        <v>47.565846999999998</v>
      </c>
      <c r="F142" s="17">
        <v>248.74389927972769</v>
      </c>
      <c r="G142" s="17">
        <v>65.215788748830704</v>
      </c>
      <c r="H142" s="17">
        <v>64.089045097975543</v>
      </c>
      <c r="I142" s="17">
        <v>108.17080224914977</v>
      </c>
      <c r="J142" s="17">
        <v>11.268263183771673</v>
      </c>
      <c r="K142" s="12" t="s">
        <v>682</v>
      </c>
      <c r="L142" s="1">
        <f>VLOOKUP(K142,Paramètres!$A$18:$B$21,2,FALSE)</f>
        <v>0.21</v>
      </c>
      <c r="M142" s="1">
        <f>VLOOKUP($K142,Paramètres!$A$27:$D$30,2,FALSE)</f>
        <v>0.33</v>
      </c>
      <c r="N142" s="1">
        <f>VLOOKUP($K142,Paramètres!$A$27:$D$30,3,FALSE)</f>
        <v>0.35</v>
      </c>
      <c r="O142" s="1">
        <f>VLOOKUP($K142,Paramètres!$A$27:$D$30,4,FALSE)</f>
        <v>0.32</v>
      </c>
      <c r="P142">
        <f>_xlfn.IFNA(VLOOKUP($K142,Paramètres!$A$38:$C$41,2,FALSE),"")</f>
        <v>4</v>
      </c>
      <c r="Q142">
        <f>_xlfn.IFNA(VLOOKUP($K142,Paramètres!$A$38:$C$41,3,FALSE),"")</f>
        <v>5</v>
      </c>
      <c r="R142">
        <v>179</v>
      </c>
      <c r="S142" t="b">
        <v>0</v>
      </c>
      <c r="T142">
        <v>5</v>
      </c>
      <c r="Y142" s="17"/>
      <c r="Z142" s="17"/>
      <c r="AA142" s="17"/>
      <c r="AB142" s="17"/>
    </row>
    <row r="143" spans="1:28" x14ac:dyDescent="0.3">
      <c r="A143" s="10" t="s">
        <v>323</v>
      </c>
      <c r="B143" s="10" t="s">
        <v>324</v>
      </c>
      <c r="C143" s="10" t="s">
        <v>52</v>
      </c>
      <c r="D143" s="15">
        <v>8709</v>
      </c>
      <c r="E143" s="17">
        <v>43.412281999999998</v>
      </c>
      <c r="F143" s="17">
        <v>227.21940827423339</v>
      </c>
      <c r="G143" s="17">
        <v>80.462801050706062</v>
      </c>
      <c r="H143" s="17">
        <v>96.68850775388978</v>
      </c>
      <c r="I143" s="17">
        <v>17.231803914490062</v>
      </c>
      <c r="J143" s="17">
        <v>32.836295555147473</v>
      </c>
      <c r="K143" s="12" t="s">
        <v>682</v>
      </c>
      <c r="L143" s="1">
        <f>VLOOKUP(K143,Paramètres!$A$18:$B$21,2,FALSE)</f>
        <v>0.21</v>
      </c>
      <c r="M143" s="1">
        <f>VLOOKUP($K143,Paramètres!$A$27:$D$30,2,FALSE)</f>
        <v>0.33</v>
      </c>
      <c r="N143" s="1">
        <f>VLOOKUP($K143,Paramètres!$A$27:$D$30,3,FALSE)</f>
        <v>0.35</v>
      </c>
      <c r="O143" s="1">
        <f>VLOOKUP($K143,Paramètres!$A$27:$D$30,4,FALSE)</f>
        <v>0.32</v>
      </c>
      <c r="P143">
        <f>_xlfn.IFNA(VLOOKUP($K143,Paramètres!$A$38:$C$41,2,FALSE),"")</f>
        <v>4</v>
      </c>
      <c r="Q143">
        <f>_xlfn.IFNA(VLOOKUP($K143,Paramètres!$A$38:$C$41,3,FALSE),"")</f>
        <v>5</v>
      </c>
      <c r="R143">
        <v>118</v>
      </c>
      <c r="S143" t="b">
        <v>0</v>
      </c>
      <c r="T143">
        <v>3</v>
      </c>
      <c r="Y143" s="17"/>
      <c r="Z143" s="17"/>
      <c r="AA143" s="17"/>
      <c r="AB143" s="17"/>
    </row>
    <row r="144" spans="1:28" x14ac:dyDescent="0.3">
      <c r="A144" s="10" t="s">
        <v>325</v>
      </c>
      <c r="B144" s="10" t="s">
        <v>326</v>
      </c>
      <c r="C144" s="10" t="s">
        <v>52</v>
      </c>
      <c r="D144" s="15">
        <v>5868</v>
      </c>
      <c r="E144" s="17">
        <v>173.72403</v>
      </c>
      <c r="F144" s="17">
        <v>713.52731623082582</v>
      </c>
      <c r="G144" s="17">
        <v>654.52518198273026</v>
      </c>
      <c r="H144" s="17">
        <v>11.597819989925704</v>
      </c>
      <c r="I144" s="17">
        <v>46.323452521746106</v>
      </c>
      <c r="J144" s="17">
        <v>1.0808617364237774</v>
      </c>
      <c r="K144" s="12" t="s">
        <v>682</v>
      </c>
      <c r="L144" s="1">
        <f>VLOOKUP(K144,Paramètres!$A$18:$B$21,2,FALSE)</f>
        <v>0.21</v>
      </c>
      <c r="M144" s="1">
        <f>VLOOKUP($K144,Paramètres!$A$27:$D$30,2,FALSE)</f>
        <v>0.33</v>
      </c>
      <c r="N144" s="1">
        <f>VLOOKUP($K144,Paramètres!$A$27:$D$30,3,FALSE)</f>
        <v>0.35</v>
      </c>
      <c r="O144" s="1">
        <f>VLOOKUP($K144,Paramètres!$A$27:$D$30,4,FALSE)</f>
        <v>0.32</v>
      </c>
      <c r="P144">
        <f>_xlfn.IFNA(VLOOKUP($K144,Paramètres!$A$38:$C$41,2,FALSE),"")</f>
        <v>4</v>
      </c>
      <c r="Q144">
        <f>_xlfn.IFNA(VLOOKUP($K144,Paramètres!$A$38:$C$41,3,FALSE),"")</f>
        <v>5</v>
      </c>
      <c r="R144">
        <v>95</v>
      </c>
      <c r="S144" t="b">
        <v>0</v>
      </c>
      <c r="T144">
        <v>3</v>
      </c>
      <c r="Y144" s="17"/>
      <c r="Z144" s="17"/>
      <c r="AA144" s="17"/>
      <c r="AB144" s="17"/>
    </row>
    <row r="145" spans="1:28" x14ac:dyDescent="0.3">
      <c r="A145" s="10" t="s">
        <v>327</v>
      </c>
      <c r="B145" s="10" t="s">
        <v>328</v>
      </c>
      <c r="C145" s="10" t="s">
        <v>52</v>
      </c>
      <c r="D145" s="15">
        <v>4677</v>
      </c>
      <c r="E145" s="17">
        <v>49.825619000000003</v>
      </c>
      <c r="F145" s="17">
        <v>169.72793231389687</v>
      </c>
      <c r="G145" s="17">
        <v>118.51793602014465</v>
      </c>
      <c r="H145" s="17">
        <v>23.176462997514712</v>
      </c>
      <c r="I145" s="17">
        <v>21.707625007569458</v>
      </c>
      <c r="J145" s="17">
        <v>6.3259082886680638</v>
      </c>
      <c r="K145" s="12" t="s">
        <v>682</v>
      </c>
      <c r="L145" s="1">
        <f>VLOOKUP(K145,Paramètres!$A$18:$B$21,2,FALSE)</f>
        <v>0.21</v>
      </c>
      <c r="M145" s="1">
        <f>VLOOKUP($K145,Paramètres!$A$27:$D$30,2,FALSE)</f>
        <v>0.33</v>
      </c>
      <c r="N145" s="1">
        <f>VLOOKUP($K145,Paramètres!$A$27:$D$30,3,FALSE)</f>
        <v>0.35</v>
      </c>
      <c r="O145" s="1">
        <f>VLOOKUP($K145,Paramètres!$A$27:$D$30,4,FALSE)</f>
        <v>0.32</v>
      </c>
      <c r="P145">
        <f>_xlfn.IFNA(VLOOKUP($K145,Paramètres!$A$38:$C$41,2,FALSE),"")</f>
        <v>4</v>
      </c>
      <c r="Q145">
        <f>_xlfn.IFNA(VLOOKUP($K145,Paramètres!$A$38:$C$41,3,FALSE),"")</f>
        <v>5</v>
      </c>
      <c r="R145">
        <v>79</v>
      </c>
      <c r="S145" t="b">
        <v>0</v>
      </c>
      <c r="T145">
        <v>2</v>
      </c>
      <c r="Y145" s="17"/>
      <c r="Z145" s="17"/>
      <c r="AA145" s="17"/>
      <c r="AB145" s="17"/>
    </row>
    <row r="146" spans="1:28" x14ac:dyDescent="0.3">
      <c r="A146" s="10" t="s">
        <v>329</v>
      </c>
      <c r="B146" s="10" t="s">
        <v>330</v>
      </c>
      <c r="C146" s="10" t="s">
        <v>52</v>
      </c>
      <c r="D146" s="15">
        <v>9705</v>
      </c>
      <c r="E146" s="17">
        <v>42.967424999999999</v>
      </c>
      <c r="F146" s="17">
        <v>183.99039090339599</v>
      </c>
      <c r="G146" s="17">
        <v>103.43850730627528</v>
      </c>
      <c r="H146" s="17">
        <v>13.396639142240073</v>
      </c>
      <c r="I146" s="17">
        <v>34.179132124935315</v>
      </c>
      <c r="J146" s="17">
        <v>32.976112329945309</v>
      </c>
      <c r="K146" s="12" t="s">
        <v>682</v>
      </c>
      <c r="L146" s="1">
        <f>VLOOKUP(K146,Paramètres!$A$18:$B$21,2,FALSE)</f>
        <v>0.21</v>
      </c>
      <c r="M146" s="1">
        <f>VLOOKUP($K146,Paramètres!$A$27:$D$30,2,FALSE)</f>
        <v>0.33</v>
      </c>
      <c r="N146" s="1">
        <f>VLOOKUP($K146,Paramètres!$A$27:$D$30,3,FALSE)</f>
        <v>0.35</v>
      </c>
      <c r="O146" s="1">
        <f>VLOOKUP($K146,Paramètres!$A$27:$D$30,4,FALSE)</f>
        <v>0.32</v>
      </c>
      <c r="P146">
        <f>_xlfn.IFNA(VLOOKUP($K146,Paramètres!$A$38:$C$41,2,FALSE),"")</f>
        <v>4</v>
      </c>
      <c r="Q146">
        <f>_xlfn.IFNA(VLOOKUP($K146,Paramètres!$A$38:$C$41,3,FALSE),"")</f>
        <v>5</v>
      </c>
      <c r="R146">
        <v>135</v>
      </c>
      <c r="S146" t="b">
        <v>0</v>
      </c>
      <c r="T146">
        <v>4</v>
      </c>
      <c r="Y146" s="17"/>
      <c r="Z146" s="17"/>
      <c r="AA146" s="17"/>
      <c r="AB146" s="17"/>
    </row>
    <row r="147" spans="1:28" x14ac:dyDescent="0.3">
      <c r="A147" s="10" t="s">
        <v>331</v>
      </c>
      <c r="B147" s="10" t="s">
        <v>332</v>
      </c>
      <c r="C147" s="10" t="s">
        <v>52</v>
      </c>
      <c r="D147" s="15">
        <v>18853</v>
      </c>
      <c r="E147" s="17">
        <v>72.671616</v>
      </c>
      <c r="F147" s="17">
        <v>352.04925590820687</v>
      </c>
      <c r="G147" s="17">
        <v>106.19180053226695</v>
      </c>
      <c r="H147" s="17">
        <v>148.00071903545788</v>
      </c>
      <c r="I147" s="17">
        <v>60.136821699640173</v>
      </c>
      <c r="J147" s="17">
        <v>37.719914640841886</v>
      </c>
      <c r="K147" s="12" t="s">
        <v>682</v>
      </c>
      <c r="L147" s="1">
        <f>VLOOKUP(K147,Paramètres!$A$18:$B$21,2,FALSE)</f>
        <v>0.21</v>
      </c>
      <c r="M147" s="1">
        <f>VLOOKUP($K147,Paramètres!$A$27:$D$30,2,FALSE)</f>
        <v>0.33</v>
      </c>
      <c r="N147" s="1">
        <f>VLOOKUP($K147,Paramètres!$A$27:$D$30,3,FALSE)</f>
        <v>0.35</v>
      </c>
      <c r="O147" s="1">
        <f>VLOOKUP($K147,Paramètres!$A$27:$D$30,4,FALSE)</f>
        <v>0.32</v>
      </c>
      <c r="P147">
        <f>_xlfn.IFNA(VLOOKUP($K147,Paramètres!$A$38:$C$41,2,FALSE),"")</f>
        <v>4</v>
      </c>
      <c r="Q147">
        <f>_xlfn.IFNA(VLOOKUP($K147,Paramètres!$A$38:$C$41,3,FALSE),"")</f>
        <v>5</v>
      </c>
      <c r="R147">
        <v>185</v>
      </c>
      <c r="S147" t="b">
        <v>1</v>
      </c>
      <c r="T147">
        <v>5</v>
      </c>
      <c r="Y147" s="17"/>
      <c r="Z147" s="17"/>
      <c r="AA147" s="17"/>
      <c r="AB147" s="17"/>
    </row>
    <row r="148" spans="1:28" x14ac:dyDescent="0.3">
      <c r="A148" s="10" t="s">
        <v>333</v>
      </c>
      <c r="B148" s="10" t="s">
        <v>334</v>
      </c>
      <c r="C148" s="10" t="s">
        <v>52</v>
      </c>
      <c r="D148" s="15">
        <v>14200</v>
      </c>
      <c r="E148" s="17">
        <v>74.462222999999994</v>
      </c>
      <c r="F148" s="17">
        <v>316.99679934360523</v>
      </c>
      <c r="G148" s="17">
        <v>201.08004632510449</v>
      </c>
      <c r="H148" s="17">
        <v>60.48496886072882</v>
      </c>
      <c r="I148" s="17">
        <v>36.98548128552509</v>
      </c>
      <c r="J148" s="17">
        <v>18.446302872246804</v>
      </c>
      <c r="K148" s="12" t="s">
        <v>681</v>
      </c>
      <c r="L148" s="1">
        <f>VLOOKUP(K148,Paramètres!$A$18:$B$21,2,FALSE)</f>
        <v>0.34</v>
      </c>
      <c r="M148" s="1">
        <f>VLOOKUP($K148,Paramètres!$A$27:$D$30,2,FALSE)</f>
        <v>0.26</v>
      </c>
      <c r="N148" s="1">
        <f>VLOOKUP($K148,Paramètres!$A$27:$D$30,3,FALSE)</f>
        <v>0.33</v>
      </c>
      <c r="O148" s="1">
        <f>VLOOKUP($K148,Paramètres!$A$27:$D$30,4,FALSE)</f>
        <v>0.41</v>
      </c>
      <c r="P148">
        <f>_xlfn.IFNA(VLOOKUP($K148,Paramètres!$A$38:$C$41,2,FALSE),"")</f>
        <v>3</v>
      </c>
      <c r="Q148">
        <f>_xlfn.IFNA(VLOOKUP($K148,Paramètres!$A$38:$C$41,3,FALSE),"")</f>
        <v>5</v>
      </c>
      <c r="R148">
        <v>188</v>
      </c>
      <c r="S148" t="b">
        <v>0</v>
      </c>
      <c r="T148">
        <v>5</v>
      </c>
      <c r="Y148" s="17"/>
      <c r="Z148" s="17"/>
      <c r="AA148" s="17"/>
      <c r="AB148" s="17"/>
    </row>
    <row r="149" spans="1:28" x14ac:dyDescent="0.3">
      <c r="A149" s="10" t="s">
        <v>335</v>
      </c>
      <c r="B149" s="10" t="s">
        <v>336</v>
      </c>
      <c r="C149" s="10" t="s">
        <v>52</v>
      </c>
      <c r="D149" s="15">
        <v>5367</v>
      </c>
      <c r="E149" s="17">
        <v>140.580975</v>
      </c>
      <c r="F149" s="17">
        <v>662.16658848584143</v>
      </c>
      <c r="G149" s="17">
        <v>608.00201301276297</v>
      </c>
      <c r="H149" s="17">
        <v>14.743421861659449</v>
      </c>
      <c r="I149" s="17">
        <v>32.867018766220127</v>
      </c>
      <c r="J149" s="17">
        <v>6.5541348451988917</v>
      </c>
      <c r="K149" s="12" t="s">
        <v>682</v>
      </c>
      <c r="L149" s="1">
        <f>VLOOKUP(K149,Paramètres!$A$18:$B$21,2,FALSE)</f>
        <v>0.21</v>
      </c>
      <c r="M149" s="1">
        <f>VLOOKUP($K149,Paramètres!$A$27:$D$30,2,FALSE)</f>
        <v>0.33</v>
      </c>
      <c r="N149" s="1">
        <f>VLOOKUP($K149,Paramètres!$A$27:$D$30,3,FALSE)</f>
        <v>0.35</v>
      </c>
      <c r="O149" s="1">
        <f>VLOOKUP($K149,Paramètres!$A$27:$D$30,4,FALSE)</f>
        <v>0.32</v>
      </c>
      <c r="P149">
        <f>_xlfn.IFNA(VLOOKUP($K149,Paramètres!$A$38:$C$41,2,FALSE),"")</f>
        <v>4</v>
      </c>
      <c r="Q149">
        <f>_xlfn.IFNA(VLOOKUP($K149,Paramètres!$A$38:$C$41,3,FALSE),"")</f>
        <v>5</v>
      </c>
      <c r="R149">
        <v>122</v>
      </c>
      <c r="S149" t="b">
        <v>0</v>
      </c>
      <c r="T149">
        <v>3</v>
      </c>
      <c r="Y149" s="17"/>
      <c r="Z149" s="17"/>
      <c r="AA149" s="17"/>
      <c r="AB149" s="17"/>
    </row>
    <row r="150" spans="1:28" x14ac:dyDescent="0.3">
      <c r="A150" s="10" t="s">
        <v>337</v>
      </c>
      <c r="B150" s="10" t="s">
        <v>338</v>
      </c>
      <c r="C150" s="10" t="s">
        <v>52</v>
      </c>
      <c r="D150" s="15">
        <v>12033</v>
      </c>
      <c r="E150" s="17">
        <v>179.20969199999999</v>
      </c>
      <c r="F150" s="17">
        <v>801.02989809087228</v>
      </c>
      <c r="G150" s="17">
        <v>647.07019718878519</v>
      </c>
      <c r="H150" s="17">
        <v>58.716254218191345</v>
      </c>
      <c r="I150" s="17">
        <v>62.614934224897333</v>
      </c>
      <c r="J150" s="17">
        <v>32.628512458998401</v>
      </c>
      <c r="K150" s="12" t="s">
        <v>682</v>
      </c>
      <c r="L150" s="1">
        <f>VLOOKUP(K150,Paramètres!$A$18:$B$21,2,FALSE)</f>
        <v>0.21</v>
      </c>
      <c r="M150" s="1">
        <f>VLOOKUP($K150,Paramètres!$A$27:$D$30,2,FALSE)</f>
        <v>0.33</v>
      </c>
      <c r="N150" s="1">
        <f>VLOOKUP($K150,Paramètres!$A$27:$D$30,3,FALSE)</f>
        <v>0.35</v>
      </c>
      <c r="O150" s="1">
        <f>VLOOKUP($K150,Paramètres!$A$27:$D$30,4,FALSE)</f>
        <v>0.32</v>
      </c>
      <c r="P150">
        <f>_xlfn.IFNA(VLOOKUP($K150,Paramètres!$A$38:$C$41,2,FALSE),"")</f>
        <v>4</v>
      </c>
      <c r="Q150">
        <f>_xlfn.IFNA(VLOOKUP($K150,Paramètres!$A$38:$C$41,3,FALSE),"")</f>
        <v>5</v>
      </c>
      <c r="R150">
        <v>264</v>
      </c>
      <c r="S150" t="b">
        <v>1</v>
      </c>
      <c r="T150">
        <v>7</v>
      </c>
      <c r="Y150" s="17"/>
      <c r="Z150" s="17"/>
      <c r="AA150" s="17"/>
      <c r="AB150" s="17"/>
    </row>
    <row r="151" spans="1:28" x14ac:dyDescent="0.3">
      <c r="A151" s="10" t="s">
        <v>339</v>
      </c>
      <c r="B151" s="10" t="s">
        <v>340</v>
      </c>
      <c r="C151" s="10" t="s">
        <v>52</v>
      </c>
      <c r="D151" s="15">
        <v>197323</v>
      </c>
      <c r="E151" s="17">
        <v>68.650172999999995</v>
      </c>
      <c r="F151" s="17">
        <v>986.88761946564762</v>
      </c>
      <c r="G151" s="17">
        <v>342.71108343680339</v>
      </c>
      <c r="H151" s="17">
        <v>318.19841803918024</v>
      </c>
      <c r="I151" s="17">
        <v>300.26105427774769</v>
      </c>
      <c r="J151" s="17">
        <v>25.717063711916381</v>
      </c>
      <c r="K151" s="12" t="s">
        <v>680</v>
      </c>
      <c r="L151" s="1">
        <f>VLOOKUP(K151,Paramètres!$A$18:$B$21,2,FALSE)</f>
        <v>0.34</v>
      </c>
      <c r="M151" s="1">
        <f>VLOOKUP($K151,Paramètres!$A$27:$D$30,2,FALSE)</f>
        <v>0.14000000000000001</v>
      </c>
      <c r="N151" s="1">
        <f>VLOOKUP($K151,Paramètres!$A$27:$D$30,3,FALSE)</f>
        <v>0.53</v>
      </c>
      <c r="O151" s="1">
        <f>VLOOKUP($K151,Paramètres!$A$27:$D$30,4,FALSE)</f>
        <v>0.33</v>
      </c>
      <c r="P151">
        <f>_xlfn.IFNA(VLOOKUP($K151,Paramètres!$A$38:$C$41,2,FALSE),"")</f>
        <v>2</v>
      </c>
      <c r="Q151">
        <f>_xlfn.IFNA(VLOOKUP($K151,Paramètres!$A$38:$C$41,3,FALSE),"")</f>
        <v>15</v>
      </c>
      <c r="R151">
        <v>2247</v>
      </c>
      <c r="S151" t="b">
        <v>0</v>
      </c>
      <c r="T151">
        <v>61</v>
      </c>
      <c r="Y151" s="17"/>
      <c r="Z151" s="17"/>
      <c r="AA151" s="17"/>
      <c r="AB151" s="17"/>
    </row>
    <row r="152" spans="1:28" x14ac:dyDescent="0.3">
      <c r="A152" s="10" t="s">
        <v>341</v>
      </c>
      <c r="B152" s="10" t="s">
        <v>342</v>
      </c>
      <c r="C152" s="10" t="s">
        <v>52</v>
      </c>
      <c r="D152" s="15">
        <v>3611</v>
      </c>
      <c r="E152" s="17">
        <v>92.340728999999996</v>
      </c>
      <c r="F152" s="17">
        <v>480.26859026308</v>
      </c>
      <c r="G152" s="17">
        <v>423.61344770749878</v>
      </c>
      <c r="H152" s="17">
        <v>14.211503916898824</v>
      </c>
      <c r="I152" s="17">
        <v>32.595422071659492</v>
      </c>
      <c r="J152" s="17">
        <v>9.8482165670229698</v>
      </c>
      <c r="K152" s="12" t="s">
        <v>682</v>
      </c>
      <c r="L152" s="1">
        <f>VLOOKUP(K152,Paramètres!$A$18:$B$21,2,FALSE)</f>
        <v>0.21</v>
      </c>
      <c r="M152" s="1">
        <f>VLOOKUP($K152,Paramètres!$A$27:$D$30,2,FALSE)</f>
        <v>0.33</v>
      </c>
      <c r="N152" s="1">
        <f>VLOOKUP($K152,Paramètres!$A$27:$D$30,3,FALSE)</f>
        <v>0.35</v>
      </c>
      <c r="O152" s="1">
        <f>VLOOKUP($K152,Paramètres!$A$27:$D$30,4,FALSE)</f>
        <v>0.32</v>
      </c>
      <c r="P152">
        <f>_xlfn.IFNA(VLOOKUP($K152,Paramètres!$A$38:$C$41,2,FALSE),"")</f>
        <v>4</v>
      </c>
      <c r="Q152">
        <f>_xlfn.IFNA(VLOOKUP($K152,Paramètres!$A$38:$C$41,3,FALSE),"")</f>
        <v>5</v>
      </c>
      <c r="R152">
        <v>76</v>
      </c>
      <c r="S152" t="b">
        <v>1</v>
      </c>
      <c r="T152">
        <v>2</v>
      </c>
      <c r="Y152" s="17"/>
      <c r="Z152" s="17"/>
      <c r="AA152" s="17"/>
      <c r="AB152" s="17"/>
    </row>
    <row r="153" spans="1:28" x14ac:dyDescent="0.3">
      <c r="A153" s="10" t="s">
        <v>343</v>
      </c>
      <c r="B153" s="10" t="s">
        <v>344</v>
      </c>
      <c r="C153" s="10" t="s">
        <v>52</v>
      </c>
      <c r="D153" s="15">
        <v>5689</v>
      </c>
      <c r="E153" s="17">
        <v>24.643661000000002</v>
      </c>
      <c r="F153" s="17">
        <v>138.23654320765891</v>
      </c>
      <c r="G153" s="17">
        <v>18.212171587581611</v>
      </c>
      <c r="H153" s="17">
        <v>95.394179900401738</v>
      </c>
      <c r="I153" s="17">
        <v>3.0406885260095904</v>
      </c>
      <c r="J153" s="17">
        <v>21.589503193665973</v>
      </c>
      <c r="K153" s="12" t="s">
        <v>682</v>
      </c>
      <c r="L153" s="1">
        <f>VLOOKUP(K153,Paramètres!$A$18:$B$21,2,FALSE)</f>
        <v>0.21</v>
      </c>
      <c r="M153" s="1">
        <f>VLOOKUP($K153,Paramètres!$A$27:$D$30,2,FALSE)</f>
        <v>0.33</v>
      </c>
      <c r="N153" s="1">
        <f>VLOOKUP($K153,Paramètres!$A$27:$D$30,3,FALSE)</f>
        <v>0.35</v>
      </c>
      <c r="O153" s="1">
        <f>VLOOKUP($K153,Paramètres!$A$27:$D$30,4,FALSE)</f>
        <v>0.32</v>
      </c>
      <c r="P153">
        <f>_xlfn.IFNA(VLOOKUP($K153,Paramètres!$A$38:$C$41,2,FALSE),"")</f>
        <v>4</v>
      </c>
      <c r="Q153">
        <f>_xlfn.IFNA(VLOOKUP($K153,Paramètres!$A$38:$C$41,3,FALSE),"")</f>
        <v>5</v>
      </c>
      <c r="R153">
        <v>98</v>
      </c>
      <c r="S153" t="b">
        <v>0</v>
      </c>
      <c r="T153">
        <v>3</v>
      </c>
      <c r="Y153" s="17"/>
      <c r="Z153" s="17"/>
      <c r="AA153" s="17"/>
      <c r="AB153" s="17"/>
    </row>
    <row r="154" spans="1:28" x14ac:dyDescent="0.3">
      <c r="A154" s="10" t="s">
        <v>345</v>
      </c>
      <c r="B154" s="10" t="s">
        <v>346</v>
      </c>
      <c r="C154" s="10" t="s">
        <v>52</v>
      </c>
      <c r="D154" s="15">
        <v>3375</v>
      </c>
      <c r="E154" s="17">
        <v>14.732994</v>
      </c>
      <c r="F154" s="17">
        <v>70.765438010256844</v>
      </c>
      <c r="G154" s="17">
        <v>41.311994928346536</v>
      </c>
      <c r="H154" s="17">
        <v>0</v>
      </c>
      <c r="I154" s="17">
        <v>13.357747093440416</v>
      </c>
      <c r="J154" s="17">
        <v>16.095695988469895</v>
      </c>
      <c r="K154" s="12" t="s">
        <v>682</v>
      </c>
      <c r="L154" s="1">
        <f>VLOOKUP(K154,Paramètres!$A$18:$B$21,2,FALSE)</f>
        <v>0.21</v>
      </c>
      <c r="M154" s="1">
        <f>VLOOKUP($K154,Paramètres!$A$27:$D$30,2,FALSE)</f>
        <v>0.33</v>
      </c>
      <c r="N154" s="1">
        <f>VLOOKUP($K154,Paramètres!$A$27:$D$30,3,FALSE)</f>
        <v>0.35</v>
      </c>
      <c r="O154" s="1">
        <f>VLOOKUP($K154,Paramètres!$A$27:$D$30,4,FALSE)</f>
        <v>0.32</v>
      </c>
      <c r="P154">
        <f>_xlfn.IFNA(VLOOKUP($K154,Paramètres!$A$38:$C$41,2,FALSE),"")</f>
        <v>4</v>
      </c>
      <c r="Q154">
        <f>_xlfn.IFNA(VLOOKUP($K154,Paramètres!$A$38:$C$41,3,FALSE),"")</f>
        <v>5</v>
      </c>
      <c r="R154">
        <v>62</v>
      </c>
      <c r="S154" t="b">
        <v>0</v>
      </c>
      <c r="T154">
        <v>2</v>
      </c>
      <c r="Y154" s="17"/>
      <c r="Z154" s="17"/>
      <c r="AA154" s="17"/>
      <c r="AB154" s="17"/>
    </row>
    <row r="155" spans="1:28" x14ac:dyDescent="0.3">
      <c r="A155" s="10" t="s">
        <v>347</v>
      </c>
      <c r="B155" s="10" t="s">
        <v>348</v>
      </c>
      <c r="C155" s="10" t="s">
        <v>52</v>
      </c>
      <c r="D155" s="15">
        <v>5958</v>
      </c>
      <c r="E155" s="17">
        <v>32.229609000000004</v>
      </c>
      <c r="F155" s="17">
        <v>126.271327647177</v>
      </c>
      <c r="G155" s="17">
        <v>61.61232315750334</v>
      </c>
      <c r="H155" s="17">
        <v>24.591706370140436</v>
      </c>
      <c r="I155" s="17">
        <v>29.624043891733301</v>
      </c>
      <c r="J155" s="17">
        <v>10.443254227799935</v>
      </c>
      <c r="K155" s="12" t="s">
        <v>682</v>
      </c>
      <c r="L155" s="1">
        <f>VLOOKUP(K155,Paramètres!$A$18:$B$21,2,FALSE)</f>
        <v>0.21</v>
      </c>
      <c r="M155" s="1">
        <f>VLOOKUP($K155,Paramètres!$A$27:$D$30,2,FALSE)</f>
        <v>0.33</v>
      </c>
      <c r="N155" s="1">
        <f>VLOOKUP($K155,Paramètres!$A$27:$D$30,3,FALSE)</f>
        <v>0.35</v>
      </c>
      <c r="O155" s="1">
        <f>VLOOKUP($K155,Paramètres!$A$27:$D$30,4,FALSE)</f>
        <v>0.32</v>
      </c>
      <c r="P155">
        <f>_xlfn.IFNA(VLOOKUP($K155,Paramètres!$A$38:$C$41,2,FALSE),"")</f>
        <v>4</v>
      </c>
      <c r="Q155">
        <f>_xlfn.IFNA(VLOOKUP($K155,Paramètres!$A$38:$C$41,3,FALSE),"")</f>
        <v>5</v>
      </c>
      <c r="R155">
        <v>114</v>
      </c>
      <c r="S155" t="b">
        <v>0</v>
      </c>
      <c r="T155">
        <v>3</v>
      </c>
      <c r="Y155" s="17"/>
      <c r="Z155" s="17"/>
      <c r="AA155" s="17"/>
      <c r="AB155" s="17"/>
    </row>
    <row r="156" spans="1:28" x14ac:dyDescent="0.3">
      <c r="A156" s="10" t="s">
        <v>349</v>
      </c>
      <c r="B156" s="10" t="s">
        <v>350</v>
      </c>
      <c r="C156" s="10" t="s">
        <v>52</v>
      </c>
      <c r="D156" s="15">
        <v>6092</v>
      </c>
      <c r="E156" s="17">
        <v>28.708259000000002</v>
      </c>
      <c r="F156" s="17">
        <v>139.92776805647242</v>
      </c>
      <c r="G156" s="17">
        <v>41.013321387416674</v>
      </c>
      <c r="H156" s="17">
        <v>69.565925608906312</v>
      </c>
      <c r="I156" s="17">
        <v>10.47834400307328</v>
      </c>
      <c r="J156" s="17">
        <v>18.870177057076159</v>
      </c>
      <c r="K156" s="12" t="s">
        <v>682</v>
      </c>
      <c r="L156" s="1">
        <f>VLOOKUP(K156,Paramètres!$A$18:$B$21,2,FALSE)</f>
        <v>0.21</v>
      </c>
      <c r="M156" s="1">
        <f>VLOOKUP($K156,Paramètres!$A$27:$D$30,2,FALSE)</f>
        <v>0.33</v>
      </c>
      <c r="N156" s="1">
        <f>VLOOKUP($K156,Paramètres!$A$27:$D$30,3,FALSE)</f>
        <v>0.35</v>
      </c>
      <c r="O156" s="1">
        <f>VLOOKUP($K156,Paramètres!$A$27:$D$30,4,FALSE)</f>
        <v>0.32</v>
      </c>
      <c r="P156">
        <f>_xlfn.IFNA(VLOOKUP($K156,Paramètres!$A$38:$C$41,2,FALSE),"")</f>
        <v>4</v>
      </c>
      <c r="Q156">
        <f>_xlfn.IFNA(VLOOKUP($K156,Paramètres!$A$38:$C$41,3,FALSE),"")</f>
        <v>5</v>
      </c>
      <c r="R156">
        <v>106</v>
      </c>
      <c r="S156" t="b">
        <v>0</v>
      </c>
      <c r="T156">
        <v>3</v>
      </c>
      <c r="Y156" s="17"/>
      <c r="Z156" s="17"/>
      <c r="AA156" s="17"/>
      <c r="AB156" s="17"/>
    </row>
    <row r="157" spans="1:28" x14ac:dyDescent="0.3">
      <c r="A157" s="10" t="s">
        <v>351</v>
      </c>
      <c r="B157" s="10" t="s">
        <v>352</v>
      </c>
      <c r="C157" s="10" t="s">
        <v>52</v>
      </c>
      <c r="D157" s="15">
        <v>12991</v>
      </c>
      <c r="E157" s="17">
        <v>100.366468</v>
      </c>
      <c r="F157" s="17">
        <v>620.28509024129028</v>
      </c>
      <c r="G157" s="17">
        <v>475.08755753114644</v>
      </c>
      <c r="H157" s="17">
        <v>25.237579494542906</v>
      </c>
      <c r="I157" s="17">
        <v>72.083717620322531</v>
      </c>
      <c r="J157" s="17">
        <v>47.876235595278366</v>
      </c>
      <c r="K157" s="12" t="s">
        <v>682</v>
      </c>
      <c r="L157" s="1">
        <f>VLOOKUP(K157,Paramètres!$A$18:$B$21,2,FALSE)</f>
        <v>0.21</v>
      </c>
      <c r="M157" s="1">
        <f>VLOOKUP($K157,Paramètres!$A$27:$D$30,2,FALSE)</f>
        <v>0.33</v>
      </c>
      <c r="N157" s="1">
        <f>VLOOKUP($K157,Paramètres!$A$27:$D$30,3,FALSE)</f>
        <v>0.35</v>
      </c>
      <c r="O157" s="1">
        <f>VLOOKUP($K157,Paramètres!$A$27:$D$30,4,FALSE)</f>
        <v>0.32</v>
      </c>
      <c r="P157">
        <f>_xlfn.IFNA(VLOOKUP($K157,Paramètres!$A$38:$C$41,2,FALSE),"")</f>
        <v>4</v>
      </c>
      <c r="Q157">
        <f>_xlfn.IFNA(VLOOKUP($K157,Paramètres!$A$38:$C$41,3,FALSE),"")</f>
        <v>5</v>
      </c>
      <c r="R157">
        <v>133</v>
      </c>
      <c r="S157" t="b">
        <v>1</v>
      </c>
      <c r="T157">
        <v>4</v>
      </c>
      <c r="Y157" s="17"/>
      <c r="Z157" s="17"/>
      <c r="AA157" s="17"/>
      <c r="AB157" s="17"/>
    </row>
    <row r="158" spans="1:28" x14ac:dyDescent="0.3">
      <c r="A158" s="14" t="s">
        <v>353</v>
      </c>
      <c r="B158" s="10" t="s">
        <v>354</v>
      </c>
      <c r="C158" s="10" t="s">
        <v>52</v>
      </c>
      <c r="D158" s="15">
        <v>24202</v>
      </c>
      <c r="E158" s="17">
        <v>19.430586000000002</v>
      </c>
      <c r="F158" s="17">
        <v>189.96795970119089</v>
      </c>
      <c r="G158" s="17">
        <v>27.915806191698596</v>
      </c>
      <c r="H158" s="17">
        <v>46.788491128937729</v>
      </c>
      <c r="I158" s="17">
        <v>42.357248471082791</v>
      </c>
      <c r="J158" s="17">
        <v>72.90641390947178</v>
      </c>
      <c r="K158" s="12" t="s">
        <v>681</v>
      </c>
      <c r="L158" s="1">
        <f>VLOOKUP(K158,Paramètres!$A$18:$B$21,2,FALSE)</f>
        <v>0.34</v>
      </c>
      <c r="M158" s="1">
        <f>VLOOKUP($K158,Paramètres!$A$27:$D$30,2,FALSE)</f>
        <v>0.26</v>
      </c>
      <c r="N158" s="1">
        <f>VLOOKUP($K158,Paramètres!$A$27:$D$30,3,FALSE)</f>
        <v>0.33</v>
      </c>
      <c r="O158" s="1">
        <f>VLOOKUP($K158,Paramètres!$A$27:$D$30,4,FALSE)</f>
        <v>0.41</v>
      </c>
      <c r="P158">
        <f>_xlfn.IFNA(VLOOKUP($K158,Paramètres!$A$38:$C$41,2,FALSE),"")</f>
        <v>3</v>
      </c>
      <c r="Q158">
        <f>_xlfn.IFNA(VLOOKUP($K158,Paramètres!$A$38:$C$41,3,FALSE),"")</f>
        <v>5</v>
      </c>
      <c r="R158">
        <v>170</v>
      </c>
      <c r="S158" t="b">
        <v>1</v>
      </c>
      <c r="T158">
        <v>5</v>
      </c>
      <c r="Y158" s="17"/>
      <c r="Z158" s="17"/>
      <c r="AA158" s="17"/>
      <c r="AB158" s="17"/>
    </row>
    <row r="159" spans="1:28" x14ac:dyDescent="0.3">
      <c r="A159" s="10" t="s">
        <v>355</v>
      </c>
      <c r="B159" s="10" t="s">
        <v>356</v>
      </c>
      <c r="C159" s="10" t="s">
        <v>52</v>
      </c>
      <c r="D159" s="15">
        <v>3762</v>
      </c>
      <c r="E159" s="17">
        <v>120.179744</v>
      </c>
      <c r="F159" s="17">
        <v>610.05176415713242</v>
      </c>
      <c r="G159" s="17">
        <v>557.46191280379946</v>
      </c>
      <c r="H159" s="17">
        <v>25.507226272289596</v>
      </c>
      <c r="I159" s="17">
        <v>27.082625081043375</v>
      </c>
      <c r="J159" s="17">
        <v>0</v>
      </c>
      <c r="K159" s="12" t="s">
        <v>682</v>
      </c>
      <c r="L159" s="1">
        <f>VLOOKUP(K159,Paramètres!$A$18:$B$21,2,FALSE)</f>
        <v>0.21</v>
      </c>
      <c r="M159" s="1">
        <f>VLOOKUP($K159,Paramètres!$A$27:$D$30,2,FALSE)</f>
        <v>0.33</v>
      </c>
      <c r="N159" s="1">
        <f>VLOOKUP($K159,Paramètres!$A$27:$D$30,3,FALSE)</f>
        <v>0.35</v>
      </c>
      <c r="O159" s="1">
        <f>VLOOKUP($K159,Paramètres!$A$27:$D$30,4,FALSE)</f>
        <v>0.32</v>
      </c>
      <c r="P159">
        <f>_xlfn.IFNA(VLOOKUP($K159,Paramètres!$A$38:$C$41,2,FALSE),"")</f>
        <v>4</v>
      </c>
      <c r="Q159">
        <f>_xlfn.IFNA(VLOOKUP($K159,Paramètres!$A$38:$C$41,3,FALSE),"")</f>
        <v>5</v>
      </c>
      <c r="R159">
        <v>151</v>
      </c>
      <c r="S159" t="b">
        <v>0</v>
      </c>
      <c r="T159">
        <v>4</v>
      </c>
      <c r="Y159" s="17"/>
      <c r="Z159" s="17"/>
      <c r="AA159" s="17"/>
      <c r="AB159" s="17"/>
    </row>
    <row r="160" spans="1:28" x14ac:dyDescent="0.3">
      <c r="A160" s="10" t="s">
        <v>357</v>
      </c>
      <c r="B160" s="10" t="s">
        <v>358</v>
      </c>
      <c r="C160" s="10" t="s">
        <v>52</v>
      </c>
      <c r="D160" s="15">
        <v>17946</v>
      </c>
      <c r="E160" s="17">
        <v>122.072169</v>
      </c>
      <c r="F160" s="17">
        <v>624.88556081209401</v>
      </c>
      <c r="G160" s="17">
        <v>453.24391055782866</v>
      </c>
      <c r="H160" s="17">
        <v>54.572013568615631</v>
      </c>
      <c r="I160" s="17">
        <v>88.250398012840392</v>
      </c>
      <c r="J160" s="17">
        <v>28.819238672809384</v>
      </c>
      <c r="K160" s="12" t="s">
        <v>681</v>
      </c>
      <c r="L160" s="1">
        <f>VLOOKUP(K160,Paramètres!$A$18:$B$21,2,FALSE)</f>
        <v>0.34</v>
      </c>
      <c r="M160" s="1">
        <f>VLOOKUP($K160,Paramètres!$A$27:$D$30,2,FALSE)</f>
        <v>0.26</v>
      </c>
      <c r="N160" s="1">
        <f>VLOOKUP($K160,Paramètres!$A$27:$D$30,3,FALSE)</f>
        <v>0.33</v>
      </c>
      <c r="O160" s="1">
        <f>VLOOKUP($K160,Paramètres!$A$27:$D$30,4,FALSE)</f>
        <v>0.41</v>
      </c>
      <c r="P160">
        <f>_xlfn.IFNA(VLOOKUP($K160,Paramètres!$A$38:$C$41,2,FALSE),"")</f>
        <v>3</v>
      </c>
      <c r="Q160">
        <f>_xlfn.IFNA(VLOOKUP($K160,Paramètres!$A$38:$C$41,3,FALSE),"")</f>
        <v>5</v>
      </c>
      <c r="R160">
        <v>263</v>
      </c>
      <c r="S160" t="b">
        <v>0</v>
      </c>
      <c r="T160">
        <v>7</v>
      </c>
      <c r="Y160" s="17"/>
      <c r="Z160" s="17"/>
      <c r="AA160" s="17"/>
      <c r="AB160" s="17"/>
    </row>
    <row r="161" spans="1:28" x14ac:dyDescent="0.3">
      <c r="A161" s="10" t="s">
        <v>359</v>
      </c>
      <c r="B161" s="10" t="s">
        <v>360</v>
      </c>
      <c r="C161" s="10" t="s">
        <v>52</v>
      </c>
      <c r="D161" s="15">
        <v>5636</v>
      </c>
      <c r="E161" s="17">
        <v>30.155248</v>
      </c>
      <c r="F161" s="17">
        <v>154.06243176223938</v>
      </c>
      <c r="G161" s="17">
        <v>84.284126014206578</v>
      </c>
      <c r="H161" s="17">
        <v>21.334789723767159</v>
      </c>
      <c r="I161" s="17">
        <v>43.013584929726541</v>
      </c>
      <c r="J161" s="17">
        <v>5.4299310945391079</v>
      </c>
      <c r="K161" s="12" t="s">
        <v>682</v>
      </c>
      <c r="L161" s="1">
        <f>VLOOKUP(K161,Paramètres!$A$18:$B$21,2,FALSE)</f>
        <v>0.21</v>
      </c>
      <c r="M161" s="1">
        <f>VLOOKUP($K161,Paramètres!$A$27:$D$30,2,FALSE)</f>
        <v>0.33</v>
      </c>
      <c r="N161" s="1">
        <f>VLOOKUP($K161,Paramètres!$A$27:$D$30,3,FALSE)</f>
        <v>0.35</v>
      </c>
      <c r="O161" s="1">
        <f>VLOOKUP($K161,Paramètres!$A$27:$D$30,4,FALSE)</f>
        <v>0.32</v>
      </c>
      <c r="P161">
        <f>_xlfn.IFNA(VLOOKUP($K161,Paramètres!$A$38:$C$41,2,FALSE),"")</f>
        <v>4</v>
      </c>
      <c r="Q161">
        <f>_xlfn.IFNA(VLOOKUP($K161,Paramètres!$A$38:$C$41,3,FALSE),"")</f>
        <v>5</v>
      </c>
      <c r="R161">
        <v>90</v>
      </c>
      <c r="S161" t="b">
        <v>0</v>
      </c>
      <c r="T161">
        <v>2</v>
      </c>
      <c r="Y161" s="17"/>
      <c r="Z161" s="17"/>
      <c r="AA161" s="17"/>
      <c r="AB161" s="17"/>
    </row>
    <row r="162" spans="1:28" x14ac:dyDescent="0.3">
      <c r="A162" s="10" t="s">
        <v>361</v>
      </c>
      <c r="B162" s="10" t="s">
        <v>362</v>
      </c>
      <c r="C162" s="10" t="s">
        <v>52</v>
      </c>
      <c r="D162" s="15">
        <v>2124</v>
      </c>
      <c r="E162" s="17">
        <v>29.984352000000001</v>
      </c>
      <c r="F162" s="17">
        <v>178.83485151357408</v>
      </c>
      <c r="G162" s="17">
        <v>106.42736923090558</v>
      </c>
      <c r="H162" s="17">
        <v>53.167193506704166</v>
      </c>
      <c r="I162" s="17">
        <v>4.8970610440676285</v>
      </c>
      <c r="J162" s="17">
        <v>14.343227731896716</v>
      </c>
      <c r="K162" s="12" t="s">
        <v>682</v>
      </c>
      <c r="L162" s="1">
        <f>VLOOKUP(K162,Paramètres!$A$18:$B$21,2,FALSE)</f>
        <v>0.21</v>
      </c>
      <c r="M162" s="1">
        <f>VLOOKUP($K162,Paramètres!$A$27:$D$30,2,FALSE)</f>
        <v>0.33</v>
      </c>
      <c r="N162" s="1">
        <f>VLOOKUP($K162,Paramètres!$A$27:$D$30,3,FALSE)</f>
        <v>0.35</v>
      </c>
      <c r="O162" s="1">
        <f>VLOOKUP($K162,Paramètres!$A$27:$D$30,4,FALSE)</f>
        <v>0.32</v>
      </c>
      <c r="P162">
        <f>_xlfn.IFNA(VLOOKUP($K162,Paramètres!$A$38:$C$41,2,FALSE),"")</f>
        <v>4</v>
      </c>
      <c r="Q162">
        <f>_xlfn.IFNA(VLOOKUP($K162,Paramètres!$A$38:$C$41,3,FALSE),"")</f>
        <v>5</v>
      </c>
      <c r="R162">
        <v>99</v>
      </c>
      <c r="S162" t="b">
        <v>0</v>
      </c>
      <c r="T162">
        <v>3</v>
      </c>
      <c r="Y162" s="17"/>
      <c r="Z162" s="17"/>
      <c r="AA162" s="17"/>
      <c r="AB162" s="17"/>
    </row>
    <row r="163" spans="1:28" x14ac:dyDescent="0.3">
      <c r="A163" s="10" t="s">
        <v>363</v>
      </c>
      <c r="B163" s="10" t="s">
        <v>364</v>
      </c>
      <c r="C163" s="10" t="s">
        <v>52</v>
      </c>
      <c r="D163" s="15">
        <v>2849</v>
      </c>
      <c r="E163" s="17">
        <v>54.968741000000001</v>
      </c>
      <c r="F163" s="17">
        <v>278.6557829429579</v>
      </c>
      <c r="G163" s="17">
        <v>248.5355763315282</v>
      </c>
      <c r="H163" s="17">
        <v>2.7414248004887867</v>
      </c>
      <c r="I163" s="17">
        <v>10.708032143326889</v>
      </c>
      <c r="J163" s="17">
        <v>16.670749667614061</v>
      </c>
      <c r="K163" s="12" t="s">
        <v>682</v>
      </c>
      <c r="L163" s="1">
        <f>VLOOKUP(K163,Paramètres!$A$18:$B$21,2,FALSE)</f>
        <v>0.21</v>
      </c>
      <c r="M163" s="1">
        <f>VLOOKUP($K163,Paramètres!$A$27:$D$30,2,FALSE)</f>
        <v>0.33</v>
      </c>
      <c r="N163" s="1">
        <f>VLOOKUP($K163,Paramètres!$A$27:$D$30,3,FALSE)</f>
        <v>0.35</v>
      </c>
      <c r="O163" s="1">
        <f>VLOOKUP($K163,Paramètres!$A$27:$D$30,4,FALSE)</f>
        <v>0.32</v>
      </c>
      <c r="P163">
        <f>_xlfn.IFNA(VLOOKUP($K163,Paramètres!$A$38:$C$41,2,FALSE),"")</f>
        <v>4</v>
      </c>
      <c r="Q163">
        <f>_xlfn.IFNA(VLOOKUP($K163,Paramètres!$A$38:$C$41,3,FALSE),"")</f>
        <v>5</v>
      </c>
      <c r="R163">
        <v>66</v>
      </c>
      <c r="S163" t="b">
        <v>0</v>
      </c>
      <c r="T163">
        <v>2</v>
      </c>
      <c r="Y163" s="17"/>
      <c r="Z163" s="17"/>
      <c r="AA163" s="17"/>
      <c r="AB163" s="17"/>
    </row>
    <row r="164" spans="1:28" x14ac:dyDescent="0.3">
      <c r="A164" s="10" t="s">
        <v>365</v>
      </c>
      <c r="B164" s="10" t="s">
        <v>366</v>
      </c>
      <c r="C164" s="10" t="s">
        <v>52</v>
      </c>
      <c r="D164" s="15">
        <v>4137</v>
      </c>
      <c r="E164" s="17">
        <v>30.531469000000001</v>
      </c>
      <c r="F164" s="17">
        <v>107.91166790695368</v>
      </c>
      <c r="G164" s="17">
        <v>75.553872838033541</v>
      </c>
      <c r="H164" s="17">
        <v>5.2417988411799259</v>
      </c>
      <c r="I164" s="17">
        <v>15.79167699355909</v>
      </c>
      <c r="J164" s="17">
        <v>11.324319234181132</v>
      </c>
      <c r="K164" s="12" t="s">
        <v>682</v>
      </c>
      <c r="L164" s="1">
        <f>VLOOKUP(K164,Paramètres!$A$18:$B$21,2,FALSE)</f>
        <v>0.21</v>
      </c>
      <c r="M164" s="1">
        <f>VLOOKUP($K164,Paramètres!$A$27:$D$30,2,FALSE)</f>
        <v>0.33</v>
      </c>
      <c r="N164" s="1">
        <f>VLOOKUP($K164,Paramètres!$A$27:$D$30,3,FALSE)</f>
        <v>0.35</v>
      </c>
      <c r="O164" s="1">
        <f>VLOOKUP($K164,Paramètres!$A$27:$D$30,4,FALSE)</f>
        <v>0.32</v>
      </c>
      <c r="P164">
        <f>_xlfn.IFNA(VLOOKUP($K164,Paramètres!$A$38:$C$41,2,FALSE),"")</f>
        <v>4</v>
      </c>
      <c r="Q164">
        <f>_xlfn.IFNA(VLOOKUP($K164,Paramètres!$A$38:$C$41,3,FALSE),"")</f>
        <v>5</v>
      </c>
      <c r="R164">
        <v>73</v>
      </c>
      <c r="S164" t="b">
        <v>0</v>
      </c>
      <c r="T164">
        <v>2</v>
      </c>
      <c r="Y164" s="17"/>
      <c r="Z164" s="17"/>
      <c r="AA164" s="17"/>
      <c r="AB164" s="17"/>
    </row>
    <row r="165" spans="1:28" x14ac:dyDescent="0.3">
      <c r="A165" s="10" t="s">
        <v>367</v>
      </c>
      <c r="B165" s="10" t="s">
        <v>368</v>
      </c>
      <c r="C165" s="10" t="s">
        <v>52</v>
      </c>
      <c r="D165" s="15">
        <v>8627</v>
      </c>
      <c r="E165" s="17">
        <v>52.620685999999999</v>
      </c>
      <c r="F165" s="17">
        <v>282.73082954186316</v>
      </c>
      <c r="G165" s="17">
        <v>206.45767127159939</v>
      </c>
      <c r="H165" s="17">
        <v>17.825129870599667</v>
      </c>
      <c r="I165" s="17">
        <v>31.822297444541093</v>
      </c>
      <c r="J165" s="17">
        <v>26.625730955123007</v>
      </c>
      <c r="K165" s="12" t="s">
        <v>682</v>
      </c>
      <c r="L165" s="1">
        <f>VLOOKUP(K165,Paramètres!$A$18:$B$21,2,FALSE)</f>
        <v>0.21</v>
      </c>
      <c r="M165" s="1">
        <f>VLOOKUP($K165,Paramètres!$A$27:$D$30,2,FALSE)</f>
        <v>0.33</v>
      </c>
      <c r="N165" s="1">
        <f>VLOOKUP($K165,Paramètres!$A$27:$D$30,3,FALSE)</f>
        <v>0.35</v>
      </c>
      <c r="O165" s="1">
        <f>VLOOKUP($K165,Paramètres!$A$27:$D$30,4,FALSE)</f>
        <v>0.32</v>
      </c>
      <c r="P165">
        <f>_xlfn.IFNA(VLOOKUP($K165,Paramètres!$A$38:$C$41,2,FALSE),"")</f>
        <v>4</v>
      </c>
      <c r="Q165">
        <f>_xlfn.IFNA(VLOOKUP($K165,Paramètres!$A$38:$C$41,3,FALSE),"")</f>
        <v>5</v>
      </c>
      <c r="R165">
        <v>116</v>
      </c>
      <c r="S165" t="b">
        <v>0</v>
      </c>
      <c r="T165">
        <v>3</v>
      </c>
      <c r="Y165" s="17"/>
      <c r="Z165" s="17"/>
      <c r="AA165" s="17"/>
      <c r="AB165" s="17"/>
    </row>
    <row r="166" spans="1:28" x14ac:dyDescent="0.3">
      <c r="A166" s="10" t="s">
        <v>369</v>
      </c>
      <c r="B166" s="10" t="s">
        <v>370</v>
      </c>
      <c r="C166" s="10" t="s">
        <v>52</v>
      </c>
      <c r="D166" s="15">
        <v>13613</v>
      </c>
      <c r="E166" s="17">
        <v>116.96504899999999</v>
      </c>
      <c r="F166" s="17">
        <v>468.24105980710402</v>
      </c>
      <c r="G166" s="17">
        <v>324.51064965272866</v>
      </c>
      <c r="H166" s="17">
        <v>40.27875684946612</v>
      </c>
      <c r="I166" s="17">
        <v>59.325377603256086</v>
      </c>
      <c r="J166" s="17">
        <v>44.126275701653128</v>
      </c>
      <c r="K166" s="12" t="s">
        <v>682</v>
      </c>
      <c r="L166" s="1">
        <f>VLOOKUP(K166,Paramètres!$A$18:$B$21,2,FALSE)</f>
        <v>0.21</v>
      </c>
      <c r="M166" s="1">
        <f>VLOOKUP($K166,Paramètres!$A$27:$D$30,2,FALSE)</f>
        <v>0.33</v>
      </c>
      <c r="N166" s="1">
        <f>VLOOKUP($K166,Paramètres!$A$27:$D$30,3,FALSE)</f>
        <v>0.35</v>
      </c>
      <c r="O166" s="1">
        <f>VLOOKUP($K166,Paramètres!$A$27:$D$30,4,FALSE)</f>
        <v>0.32</v>
      </c>
      <c r="P166">
        <f>_xlfn.IFNA(VLOOKUP($K166,Paramètres!$A$38:$C$41,2,FALSE),"")</f>
        <v>4</v>
      </c>
      <c r="Q166">
        <f>_xlfn.IFNA(VLOOKUP($K166,Paramètres!$A$38:$C$41,3,FALSE),"")</f>
        <v>5</v>
      </c>
      <c r="R166">
        <v>159</v>
      </c>
      <c r="S166" t="b">
        <v>0</v>
      </c>
      <c r="T166">
        <v>4</v>
      </c>
      <c r="Y166" s="17"/>
      <c r="Z166" s="17"/>
      <c r="AA166" s="17"/>
      <c r="AB166" s="17"/>
    </row>
    <row r="167" spans="1:28" x14ac:dyDescent="0.3">
      <c r="A167" s="10" t="s">
        <v>371</v>
      </c>
      <c r="B167" s="10" t="s">
        <v>372</v>
      </c>
      <c r="C167" s="10" t="s">
        <v>52</v>
      </c>
      <c r="D167" s="15">
        <v>4169</v>
      </c>
      <c r="E167" s="17">
        <v>40.42333</v>
      </c>
      <c r="F167" s="17">
        <v>179.73213937013287</v>
      </c>
      <c r="G167" s="17">
        <v>136.63703079072698</v>
      </c>
      <c r="H167" s="17">
        <v>4.6011560550707102</v>
      </c>
      <c r="I167" s="17">
        <v>38.493952524335178</v>
      </c>
      <c r="J167" s="17">
        <v>0</v>
      </c>
      <c r="K167" s="12" t="s">
        <v>682</v>
      </c>
      <c r="L167" s="1">
        <f>VLOOKUP(K167,Paramètres!$A$18:$B$21,2,FALSE)</f>
        <v>0.21</v>
      </c>
      <c r="M167" s="1">
        <f>VLOOKUP($K167,Paramètres!$A$27:$D$30,2,FALSE)</f>
        <v>0.33</v>
      </c>
      <c r="N167" s="1">
        <f>VLOOKUP($K167,Paramètres!$A$27:$D$30,3,FALSE)</f>
        <v>0.35</v>
      </c>
      <c r="O167" s="1">
        <f>VLOOKUP($K167,Paramètres!$A$27:$D$30,4,FALSE)</f>
        <v>0.32</v>
      </c>
      <c r="P167">
        <f>_xlfn.IFNA(VLOOKUP($K167,Paramètres!$A$38:$C$41,2,FALSE),"")</f>
        <v>4</v>
      </c>
      <c r="Q167">
        <f>_xlfn.IFNA(VLOOKUP($K167,Paramètres!$A$38:$C$41,3,FALSE),"")</f>
        <v>5</v>
      </c>
      <c r="R167">
        <v>100</v>
      </c>
      <c r="S167" t="b">
        <v>0</v>
      </c>
      <c r="T167">
        <v>3</v>
      </c>
      <c r="Y167" s="17"/>
      <c r="Z167" s="17"/>
      <c r="AA167" s="17"/>
      <c r="AB167" s="17"/>
    </row>
    <row r="168" spans="1:28" x14ac:dyDescent="0.3">
      <c r="A168" s="10" t="s">
        <v>373</v>
      </c>
      <c r="B168" s="10" t="s">
        <v>374</v>
      </c>
      <c r="C168" s="10" t="s">
        <v>52</v>
      </c>
      <c r="D168" s="15">
        <v>5213</v>
      </c>
      <c r="E168" s="17">
        <v>86.007345999999998</v>
      </c>
      <c r="F168" s="17">
        <v>245.73711621382972</v>
      </c>
      <c r="G168" s="17">
        <v>182.6552703334053</v>
      </c>
      <c r="H168" s="17">
        <v>24.505917336778808</v>
      </c>
      <c r="I168" s="17">
        <v>38.575928543645617</v>
      </c>
      <c r="J168" s="17">
        <v>0</v>
      </c>
      <c r="K168" s="12" t="s">
        <v>682</v>
      </c>
      <c r="L168" s="1">
        <f>VLOOKUP(K168,Paramètres!$A$18:$B$21,2,FALSE)</f>
        <v>0.21</v>
      </c>
      <c r="M168" s="1">
        <f>VLOOKUP($K168,Paramètres!$A$27:$D$30,2,FALSE)</f>
        <v>0.33</v>
      </c>
      <c r="N168" s="1">
        <f>VLOOKUP($K168,Paramètres!$A$27:$D$30,3,FALSE)</f>
        <v>0.35</v>
      </c>
      <c r="O168" s="1">
        <f>VLOOKUP($K168,Paramètres!$A$27:$D$30,4,FALSE)</f>
        <v>0.32</v>
      </c>
      <c r="P168">
        <f>_xlfn.IFNA(VLOOKUP($K168,Paramètres!$A$38:$C$41,2,FALSE),"")</f>
        <v>4</v>
      </c>
      <c r="Q168">
        <f>_xlfn.IFNA(VLOOKUP($K168,Paramètres!$A$38:$C$41,3,FALSE),"")</f>
        <v>5</v>
      </c>
      <c r="R168">
        <v>113</v>
      </c>
      <c r="S168" t="b">
        <v>0</v>
      </c>
      <c r="T168">
        <v>3</v>
      </c>
      <c r="Y168" s="17"/>
      <c r="Z168" s="17"/>
      <c r="AA168" s="17"/>
      <c r="AB168" s="17"/>
    </row>
    <row r="169" spans="1:28" x14ac:dyDescent="0.3">
      <c r="A169" s="10" t="s">
        <v>375</v>
      </c>
      <c r="B169" s="10" t="s">
        <v>376</v>
      </c>
      <c r="C169" s="10" t="s">
        <v>52</v>
      </c>
      <c r="D169" s="15">
        <v>97120</v>
      </c>
      <c r="E169" s="17">
        <v>147.55837700000001</v>
      </c>
      <c r="F169" s="17">
        <v>1289.708876271291</v>
      </c>
      <c r="G169" s="17">
        <v>561.80107919266266</v>
      </c>
      <c r="H169" s="17">
        <v>336.85218439621707</v>
      </c>
      <c r="I169" s="17">
        <v>256.90179577225888</v>
      </c>
      <c r="J169" s="17">
        <v>134.15381691015259</v>
      </c>
      <c r="K169" s="12" t="s">
        <v>683</v>
      </c>
      <c r="L169" s="1">
        <f>VLOOKUP(K169,Paramètres!$A$18:$B$21,2,FALSE)</f>
        <v>0.34</v>
      </c>
      <c r="M169" s="1">
        <f>VLOOKUP($K169,Paramètres!$A$27:$D$30,2,FALSE)</f>
        <v>0.37</v>
      </c>
      <c r="N169" s="1">
        <f>VLOOKUP($K169,Paramètres!$A$27:$D$30,3,FALSE)</f>
        <v>0.39</v>
      </c>
      <c r="O169" s="1">
        <f>VLOOKUP($K169,Paramètres!$A$27:$D$30,4,FALSE)</f>
        <v>0.24</v>
      </c>
      <c r="P169">
        <f>_xlfn.IFNA(VLOOKUP($K169,Paramètres!$A$38:$C$41,2,FALSE),"")</f>
        <v>2</v>
      </c>
      <c r="Q169">
        <f>_xlfn.IFNA(VLOOKUP($K169,Paramètres!$A$38:$C$41,3,FALSE),"")</f>
        <v>15</v>
      </c>
      <c r="R169">
        <v>1091</v>
      </c>
      <c r="S169" t="b">
        <v>1</v>
      </c>
      <c r="T169">
        <v>29</v>
      </c>
      <c r="Y169" s="17"/>
      <c r="Z169" s="17"/>
      <c r="AA169" s="17"/>
      <c r="AB169" s="17"/>
    </row>
    <row r="170" spans="1:28" x14ac:dyDescent="0.3">
      <c r="A170" t="s">
        <v>377</v>
      </c>
      <c r="B170" s="10" t="s">
        <v>378</v>
      </c>
      <c r="C170" s="10" t="s">
        <v>52</v>
      </c>
      <c r="D170" s="15">
        <v>3838</v>
      </c>
      <c r="E170" s="17">
        <v>27.15795</v>
      </c>
      <c r="F170" s="17">
        <v>105.53836606388585</v>
      </c>
      <c r="G170" s="17">
        <v>6.5610935697027362</v>
      </c>
      <c r="H170" s="17">
        <v>81.728948941406898</v>
      </c>
      <c r="I170" s="17">
        <v>17.248323552776217</v>
      </c>
      <c r="J170" s="17">
        <v>0</v>
      </c>
      <c r="K170" s="12" t="s">
        <v>682</v>
      </c>
      <c r="L170" s="1">
        <f>VLOOKUP(K170,Paramètres!$A$18:$B$21,2,FALSE)</f>
        <v>0.21</v>
      </c>
      <c r="M170" s="1">
        <f>VLOOKUP($K170,Paramètres!$A$27:$D$30,2,FALSE)</f>
        <v>0.33</v>
      </c>
      <c r="N170" s="1">
        <f>VLOOKUP($K170,Paramètres!$A$27:$D$30,3,FALSE)</f>
        <v>0.35</v>
      </c>
      <c r="O170" s="1">
        <f>VLOOKUP($K170,Paramètres!$A$27:$D$30,4,FALSE)</f>
        <v>0.32</v>
      </c>
      <c r="P170">
        <f>_xlfn.IFNA(VLOOKUP($K170,Paramètres!$A$38:$C$41,2,FALSE),"")</f>
        <v>4</v>
      </c>
      <c r="Q170">
        <f>_xlfn.IFNA(VLOOKUP($K170,Paramètres!$A$38:$C$41,3,FALSE),"")</f>
        <v>5</v>
      </c>
      <c r="R170">
        <v>85</v>
      </c>
      <c r="S170" t="b">
        <v>0</v>
      </c>
      <c r="T170">
        <v>2</v>
      </c>
      <c r="Y170" s="17"/>
      <c r="Z170" s="17"/>
      <c r="AA170" s="17"/>
      <c r="AB170" s="17"/>
    </row>
    <row r="171" spans="1:28" x14ac:dyDescent="0.3">
      <c r="A171" s="10" t="s">
        <v>379</v>
      </c>
      <c r="B171" s="10" t="s">
        <v>380</v>
      </c>
      <c r="C171" s="10" t="s">
        <v>52</v>
      </c>
      <c r="D171" s="15">
        <v>10170</v>
      </c>
      <c r="E171" s="17">
        <v>15.230309</v>
      </c>
      <c r="F171" s="17">
        <v>121.87860025543972</v>
      </c>
      <c r="G171" s="17">
        <v>20.15218224232127</v>
      </c>
      <c r="H171" s="17">
        <v>37.226200309364799</v>
      </c>
      <c r="I171" s="17">
        <v>30.605937951287643</v>
      </c>
      <c r="J171" s="17">
        <v>33.894279752466012</v>
      </c>
      <c r="K171" s="12" t="s">
        <v>682</v>
      </c>
      <c r="L171" s="1">
        <f>VLOOKUP(K171,Paramètres!$A$18:$B$21,2,FALSE)</f>
        <v>0.21</v>
      </c>
      <c r="M171" s="1">
        <f>VLOOKUP($K171,Paramètres!$A$27:$D$30,2,FALSE)</f>
        <v>0.33</v>
      </c>
      <c r="N171" s="1">
        <f>VLOOKUP($K171,Paramètres!$A$27:$D$30,3,FALSE)</f>
        <v>0.35</v>
      </c>
      <c r="O171" s="1">
        <f>VLOOKUP($K171,Paramètres!$A$27:$D$30,4,FALSE)</f>
        <v>0.32</v>
      </c>
      <c r="P171">
        <f>_xlfn.IFNA(VLOOKUP($K171,Paramètres!$A$38:$C$41,2,FALSE),"")</f>
        <v>4</v>
      </c>
      <c r="Q171">
        <f>_xlfn.IFNA(VLOOKUP($K171,Paramètres!$A$38:$C$41,3,FALSE),"")</f>
        <v>5</v>
      </c>
      <c r="R171">
        <v>74</v>
      </c>
      <c r="S171" t="b">
        <v>1</v>
      </c>
      <c r="T171">
        <v>2</v>
      </c>
      <c r="Y171" s="17"/>
      <c r="Z171" s="17"/>
      <c r="AA171" s="17"/>
      <c r="AB171" s="17"/>
    </row>
    <row r="172" spans="1:28" x14ac:dyDescent="0.3">
      <c r="A172" s="10" t="s">
        <v>381</v>
      </c>
      <c r="B172" s="11" t="s">
        <v>382</v>
      </c>
      <c r="C172" s="10" t="s">
        <v>52</v>
      </c>
      <c r="D172" s="15">
        <v>8451</v>
      </c>
      <c r="E172" s="17">
        <v>18.724484</v>
      </c>
      <c r="F172" s="17">
        <v>114.91487156823923</v>
      </c>
      <c r="G172" s="17">
        <v>43.996419816542073</v>
      </c>
      <c r="H172" s="17">
        <v>23.907218514906628</v>
      </c>
      <c r="I172" s="17">
        <v>12.049480102954398</v>
      </c>
      <c r="J172" s="17">
        <v>34.96175313383614</v>
      </c>
      <c r="K172" s="12" t="s">
        <v>682</v>
      </c>
      <c r="L172" s="1">
        <f>VLOOKUP(K172,Paramètres!$A$18:$B$21,2,FALSE)</f>
        <v>0.21</v>
      </c>
      <c r="M172" s="1">
        <f>VLOOKUP($K172,Paramètres!$A$27:$D$30,2,FALSE)</f>
        <v>0.33</v>
      </c>
      <c r="N172" s="1">
        <f>VLOOKUP($K172,Paramètres!$A$27:$D$30,3,FALSE)</f>
        <v>0.35</v>
      </c>
      <c r="O172" s="1">
        <f>VLOOKUP($K172,Paramètres!$A$27:$D$30,4,FALSE)</f>
        <v>0.32</v>
      </c>
      <c r="P172">
        <f>_xlfn.IFNA(VLOOKUP($K172,Paramètres!$A$38:$C$41,2,FALSE),"")</f>
        <v>4</v>
      </c>
      <c r="Q172">
        <f>_xlfn.IFNA(VLOOKUP($K172,Paramètres!$A$38:$C$41,3,FALSE),"")</f>
        <v>5</v>
      </c>
      <c r="R172">
        <v>162</v>
      </c>
      <c r="S172" t="b">
        <v>0</v>
      </c>
      <c r="T172">
        <v>4</v>
      </c>
      <c r="Y172" s="17"/>
      <c r="Z172" s="17"/>
      <c r="AA172" s="17"/>
      <c r="AB172" s="17"/>
    </row>
    <row r="173" spans="1:28" x14ac:dyDescent="0.3">
      <c r="A173" s="10" t="s">
        <v>383</v>
      </c>
      <c r="B173" s="10" t="s">
        <v>384</v>
      </c>
      <c r="C173" s="10" t="s">
        <v>52</v>
      </c>
      <c r="D173" s="15">
        <v>19113</v>
      </c>
      <c r="E173" s="17">
        <v>20.377431000000001</v>
      </c>
      <c r="F173" s="17">
        <v>155.20695759298147</v>
      </c>
      <c r="G173" s="17">
        <v>2.4347099629149191</v>
      </c>
      <c r="H173" s="17">
        <v>71.982327460643276</v>
      </c>
      <c r="I173" s="17">
        <v>11.31967381535457</v>
      </c>
      <c r="J173" s="17">
        <v>69.470246354068706</v>
      </c>
      <c r="K173" s="12" t="s">
        <v>682</v>
      </c>
      <c r="L173" s="1">
        <f>VLOOKUP(K173,Paramètres!$A$18:$B$21,2,FALSE)</f>
        <v>0.21</v>
      </c>
      <c r="M173" s="1">
        <f>VLOOKUP($K173,Paramètres!$A$27:$D$30,2,FALSE)</f>
        <v>0.33</v>
      </c>
      <c r="N173" s="1">
        <f>VLOOKUP($K173,Paramètres!$A$27:$D$30,3,FALSE)</f>
        <v>0.35</v>
      </c>
      <c r="O173" s="1">
        <f>VLOOKUP($K173,Paramètres!$A$27:$D$30,4,FALSE)</f>
        <v>0.32</v>
      </c>
      <c r="P173">
        <f>_xlfn.IFNA(VLOOKUP($K173,Paramètres!$A$38:$C$41,2,FALSE),"")</f>
        <v>4</v>
      </c>
      <c r="Q173">
        <f>_xlfn.IFNA(VLOOKUP($K173,Paramètres!$A$38:$C$41,3,FALSE),"")</f>
        <v>5</v>
      </c>
      <c r="R173">
        <v>179</v>
      </c>
      <c r="S173" t="b">
        <v>0</v>
      </c>
      <c r="T173">
        <v>5</v>
      </c>
      <c r="Y173" s="17"/>
      <c r="Z173" s="17"/>
      <c r="AA173" s="17"/>
      <c r="AB173" s="17"/>
    </row>
    <row r="174" spans="1:28" x14ac:dyDescent="0.3">
      <c r="A174" s="10" t="s">
        <v>385</v>
      </c>
      <c r="B174" s="10" t="s">
        <v>386</v>
      </c>
      <c r="C174" s="10" t="s">
        <v>52</v>
      </c>
      <c r="D174" s="15">
        <v>60304</v>
      </c>
      <c r="E174" s="17">
        <v>40.623322999999999</v>
      </c>
      <c r="F174" s="17">
        <v>392.67814110009351</v>
      </c>
      <c r="G174" s="17">
        <v>96.870647837667335</v>
      </c>
      <c r="H174" s="17">
        <v>80.950083153292965</v>
      </c>
      <c r="I174" s="17">
        <v>123.46073033743397</v>
      </c>
      <c r="J174" s="17">
        <v>91.39667977169924</v>
      </c>
      <c r="K174" s="12" t="s">
        <v>683</v>
      </c>
      <c r="L174" s="1">
        <f>VLOOKUP(K174,Paramètres!$A$18:$B$21,2,FALSE)</f>
        <v>0.34</v>
      </c>
      <c r="M174" s="1">
        <f>VLOOKUP($K174,Paramètres!$A$27:$D$30,2,FALSE)</f>
        <v>0.37</v>
      </c>
      <c r="N174" s="1">
        <f>VLOOKUP($K174,Paramètres!$A$27:$D$30,3,FALSE)</f>
        <v>0.39</v>
      </c>
      <c r="O174" s="1">
        <f>VLOOKUP($K174,Paramètres!$A$27:$D$30,4,FALSE)</f>
        <v>0.24</v>
      </c>
      <c r="P174">
        <f>_xlfn.IFNA(VLOOKUP($K174,Paramètres!$A$38:$C$41,2,FALSE),"")</f>
        <v>2</v>
      </c>
      <c r="Q174">
        <f>_xlfn.IFNA(VLOOKUP($K174,Paramètres!$A$38:$C$41,3,FALSE),"")</f>
        <v>15</v>
      </c>
      <c r="R174">
        <v>455</v>
      </c>
      <c r="S174" t="b">
        <v>1</v>
      </c>
      <c r="T174">
        <v>12</v>
      </c>
      <c r="Y174" s="17"/>
      <c r="Z174" s="17"/>
      <c r="AA174" s="17"/>
      <c r="AB174" s="17"/>
    </row>
    <row r="175" spans="1:28" x14ac:dyDescent="0.3">
      <c r="A175" s="10" t="s">
        <v>387</v>
      </c>
      <c r="B175" s="10" t="s">
        <v>388</v>
      </c>
      <c r="C175" s="10" t="s">
        <v>52</v>
      </c>
      <c r="D175" s="15">
        <v>4708</v>
      </c>
      <c r="E175" s="17">
        <v>35.371108</v>
      </c>
      <c r="F175" s="17">
        <v>159.03262867667095</v>
      </c>
      <c r="G175" s="17">
        <v>91.557603133072945</v>
      </c>
      <c r="H175" s="17">
        <v>38.025115644509313</v>
      </c>
      <c r="I175" s="17">
        <v>10.566988852109287</v>
      </c>
      <c r="J175" s="17">
        <v>18.882921046979419</v>
      </c>
      <c r="K175" s="12" t="s">
        <v>682</v>
      </c>
      <c r="L175" s="1">
        <f>VLOOKUP(K175,Paramètres!$A$18:$B$21,2,FALSE)</f>
        <v>0.21</v>
      </c>
      <c r="M175" s="1">
        <f>VLOOKUP($K175,Paramètres!$A$27:$D$30,2,FALSE)</f>
        <v>0.33</v>
      </c>
      <c r="N175" s="1">
        <f>VLOOKUP($K175,Paramètres!$A$27:$D$30,3,FALSE)</f>
        <v>0.35</v>
      </c>
      <c r="O175" s="1">
        <f>VLOOKUP($K175,Paramètres!$A$27:$D$30,4,FALSE)</f>
        <v>0.32</v>
      </c>
      <c r="P175">
        <f>_xlfn.IFNA(VLOOKUP($K175,Paramètres!$A$38:$C$41,2,FALSE),"")</f>
        <v>4</v>
      </c>
      <c r="Q175">
        <f>_xlfn.IFNA(VLOOKUP($K175,Paramètres!$A$38:$C$41,3,FALSE),"")</f>
        <v>5</v>
      </c>
      <c r="R175">
        <v>69</v>
      </c>
      <c r="S175" t="b">
        <v>0</v>
      </c>
      <c r="T175">
        <v>2</v>
      </c>
      <c r="Y175" s="17"/>
      <c r="Z175" s="17"/>
      <c r="AA175" s="17"/>
      <c r="AB175" s="17"/>
    </row>
    <row r="176" spans="1:28" x14ac:dyDescent="0.3">
      <c r="A176" s="10" t="s">
        <v>389</v>
      </c>
      <c r="B176" s="10" t="s">
        <v>390</v>
      </c>
      <c r="C176" s="10" t="s">
        <v>52</v>
      </c>
      <c r="D176" s="15">
        <v>115029</v>
      </c>
      <c r="E176" s="17">
        <v>175.92679799999999</v>
      </c>
      <c r="F176" s="17">
        <v>1269.2897656852233</v>
      </c>
      <c r="G176" s="17">
        <v>547.16875141734977</v>
      </c>
      <c r="H176" s="17">
        <v>392.425045119213</v>
      </c>
      <c r="I176" s="17">
        <v>192.6676923895204</v>
      </c>
      <c r="J176" s="17">
        <v>137.02827675914028</v>
      </c>
      <c r="K176" s="12" t="s">
        <v>683</v>
      </c>
      <c r="L176" s="1">
        <f>VLOOKUP(K176,Paramètres!$A$18:$B$21,2,FALSE)</f>
        <v>0.34</v>
      </c>
      <c r="M176" s="1">
        <f>VLOOKUP($K176,Paramètres!$A$27:$D$30,2,FALSE)</f>
        <v>0.37</v>
      </c>
      <c r="N176" s="1">
        <f>VLOOKUP($K176,Paramètres!$A$27:$D$30,3,FALSE)</f>
        <v>0.39</v>
      </c>
      <c r="O176" s="1">
        <f>VLOOKUP($K176,Paramètres!$A$27:$D$30,4,FALSE)</f>
        <v>0.24</v>
      </c>
      <c r="P176">
        <f>_xlfn.IFNA(VLOOKUP($K176,Paramètres!$A$38:$C$41,2,FALSE),"")</f>
        <v>2</v>
      </c>
      <c r="Q176">
        <f>_xlfn.IFNA(VLOOKUP($K176,Paramètres!$A$38:$C$41,3,FALSE),"")</f>
        <v>15</v>
      </c>
      <c r="R176">
        <v>1018</v>
      </c>
      <c r="S176" t="b">
        <v>0</v>
      </c>
      <c r="T176">
        <v>27</v>
      </c>
      <c r="Y176" s="17"/>
      <c r="Z176" s="17"/>
      <c r="AA176" s="17"/>
      <c r="AB176" s="17"/>
    </row>
    <row r="177" spans="1:28" x14ac:dyDescent="0.3">
      <c r="A177" s="10" t="s">
        <v>391</v>
      </c>
      <c r="B177" s="10" t="s">
        <v>392</v>
      </c>
      <c r="C177" s="10" t="s">
        <v>52</v>
      </c>
      <c r="D177" s="15">
        <v>5755</v>
      </c>
      <c r="E177" s="17">
        <v>36.128678000000001</v>
      </c>
      <c r="F177" s="17">
        <v>150.87370438889232</v>
      </c>
      <c r="G177" s="17">
        <v>32.122817787722525</v>
      </c>
      <c r="H177" s="17">
        <v>83.034709571148468</v>
      </c>
      <c r="I177" s="17">
        <v>31.325440319513373</v>
      </c>
      <c r="J177" s="17">
        <v>4.3907367105079418</v>
      </c>
      <c r="K177" s="12" t="s">
        <v>682</v>
      </c>
      <c r="L177" s="1">
        <f>VLOOKUP(K177,Paramètres!$A$18:$B$21,2,FALSE)</f>
        <v>0.21</v>
      </c>
      <c r="M177" s="1">
        <f>VLOOKUP($K177,Paramètres!$A$27:$D$30,2,FALSE)</f>
        <v>0.33</v>
      </c>
      <c r="N177" s="1">
        <f>VLOOKUP($K177,Paramètres!$A$27:$D$30,3,FALSE)</f>
        <v>0.35</v>
      </c>
      <c r="O177" s="1">
        <f>VLOOKUP($K177,Paramètres!$A$27:$D$30,4,FALSE)</f>
        <v>0.32</v>
      </c>
      <c r="P177">
        <f>_xlfn.IFNA(VLOOKUP($K177,Paramètres!$A$38:$C$41,2,FALSE),"")</f>
        <v>4</v>
      </c>
      <c r="Q177">
        <f>_xlfn.IFNA(VLOOKUP($K177,Paramètres!$A$38:$C$41,3,FALSE),"")</f>
        <v>5</v>
      </c>
      <c r="R177">
        <v>108</v>
      </c>
      <c r="S177" t="b">
        <v>0</v>
      </c>
      <c r="T177">
        <v>3</v>
      </c>
      <c r="Y177" s="17"/>
      <c r="Z177" s="17"/>
      <c r="AA177" s="17"/>
      <c r="AB177" s="17"/>
    </row>
    <row r="178" spans="1:28" x14ac:dyDescent="0.3">
      <c r="A178" s="10" t="s">
        <v>393</v>
      </c>
      <c r="B178" s="10" t="s">
        <v>394</v>
      </c>
      <c r="C178" s="10" t="s">
        <v>52</v>
      </c>
      <c r="D178" s="15">
        <v>5716</v>
      </c>
      <c r="E178" s="17">
        <v>113.11286699999999</v>
      </c>
      <c r="F178" s="17">
        <v>445.29841195497471</v>
      </c>
      <c r="G178" s="17">
        <v>390.3477176348058</v>
      </c>
      <c r="H178" s="17">
        <v>13.175077209735797</v>
      </c>
      <c r="I178" s="17">
        <v>29.90522754484871</v>
      </c>
      <c r="J178" s="17">
        <v>11.870389565584361</v>
      </c>
      <c r="K178" s="12" t="s">
        <v>682</v>
      </c>
      <c r="L178" s="1">
        <f>VLOOKUP(K178,Paramètres!$A$18:$B$21,2,FALSE)</f>
        <v>0.21</v>
      </c>
      <c r="M178" s="1">
        <f>VLOOKUP($K178,Paramètres!$A$27:$D$30,2,FALSE)</f>
        <v>0.33</v>
      </c>
      <c r="N178" s="1">
        <f>VLOOKUP($K178,Paramètres!$A$27:$D$30,3,FALSE)</f>
        <v>0.35</v>
      </c>
      <c r="O178" s="1">
        <f>VLOOKUP($K178,Paramètres!$A$27:$D$30,4,FALSE)</f>
        <v>0.32</v>
      </c>
      <c r="P178">
        <f>_xlfn.IFNA(VLOOKUP($K178,Paramètres!$A$38:$C$41,2,FALSE),"")</f>
        <v>4</v>
      </c>
      <c r="Q178">
        <f>_xlfn.IFNA(VLOOKUP($K178,Paramètres!$A$38:$C$41,3,FALSE),"")</f>
        <v>5</v>
      </c>
      <c r="R178">
        <v>79</v>
      </c>
      <c r="S178" t="b">
        <v>1</v>
      </c>
      <c r="T178">
        <v>2</v>
      </c>
      <c r="Y178" s="17"/>
      <c r="Z178" s="17"/>
      <c r="AA178" s="17"/>
      <c r="AB178" s="17"/>
    </row>
    <row r="179" spans="1:28" x14ac:dyDescent="0.3">
      <c r="A179" s="10" t="s">
        <v>732</v>
      </c>
      <c r="B179" s="10" t="s">
        <v>395</v>
      </c>
      <c r="C179" s="10" t="s">
        <v>52</v>
      </c>
      <c r="D179" s="15">
        <v>8350</v>
      </c>
      <c r="E179" s="17">
        <v>114.457429</v>
      </c>
      <c r="F179" s="17">
        <v>506.7578590021626</v>
      </c>
      <c r="G179" s="17">
        <v>420.16659238941946</v>
      </c>
      <c r="H179" s="17">
        <v>20.284246058865538</v>
      </c>
      <c r="I179" s="17">
        <v>48.18929386038463</v>
      </c>
      <c r="J179" s="17">
        <v>18.117726693492937</v>
      </c>
      <c r="K179" s="12" t="s">
        <v>682</v>
      </c>
      <c r="L179" s="1">
        <f>VLOOKUP(K179,Paramètres!$A$18:$B$21,2,FALSE)</f>
        <v>0.21</v>
      </c>
      <c r="M179" s="1">
        <f>VLOOKUP($K179,Paramètres!$A$27:$D$30,2,FALSE)</f>
        <v>0.33</v>
      </c>
      <c r="N179" s="1">
        <f>VLOOKUP($K179,Paramètres!$A$27:$D$30,3,FALSE)</f>
        <v>0.35</v>
      </c>
      <c r="O179" s="1">
        <f>VLOOKUP($K179,Paramètres!$A$27:$D$30,4,FALSE)</f>
        <v>0.32</v>
      </c>
      <c r="P179">
        <f>_xlfn.IFNA(VLOOKUP($K179,Paramètres!$A$38:$C$41,2,FALSE),"")</f>
        <v>4</v>
      </c>
      <c r="Q179">
        <f>_xlfn.IFNA(VLOOKUP($K179,Paramètres!$A$38:$C$41,3,FALSE),"")</f>
        <v>5</v>
      </c>
      <c r="R179">
        <v>226</v>
      </c>
      <c r="S179" t="b">
        <v>1</v>
      </c>
      <c r="T179">
        <v>6</v>
      </c>
      <c r="Y179" s="17"/>
      <c r="Z179" s="17"/>
      <c r="AA179" s="17"/>
      <c r="AB179" s="17"/>
    </row>
    <row r="180" spans="1:28" x14ac:dyDescent="0.3">
      <c r="A180" s="10" t="s">
        <v>396</v>
      </c>
      <c r="B180" s="10" t="s">
        <v>397</v>
      </c>
      <c r="C180" s="10" t="s">
        <v>52</v>
      </c>
      <c r="D180" s="15">
        <v>9952</v>
      </c>
      <c r="E180" s="17">
        <v>31.743628999999999</v>
      </c>
      <c r="F180" s="17">
        <v>201.5047747215684</v>
      </c>
      <c r="G180" s="17">
        <v>85.664726472640197</v>
      </c>
      <c r="H180" s="17">
        <v>33.889094792625158</v>
      </c>
      <c r="I180" s="17">
        <v>52.140438003450136</v>
      </c>
      <c r="J180" s="17">
        <v>29.810515452852901</v>
      </c>
      <c r="K180" s="12" t="s">
        <v>682</v>
      </c>
      <c r="L180" s="1">
        <f>VLOOKUP(K180,Paramètres!$A$18:$B$21,2,FALSE)</f>
        <v>0.21</v>
      </c>
      <c r="M180" s="1">
        <f>VLOOKUP($K180,Paramètres!$A$27:$D$30,2,FALSE)</f>
        <v>0.33</v>
      </c>
      <c r="N180" s="1">
        <f>VLOOKUP($K180,Paramètres!$A$27:$D$30,3,FALSE)</f>
        <v>0.35</v>
      </c>
      <c r="O180" s="1">
        <f>VLOOKUP($K180,Paramètres!$A$27:$D$30,4,FALSE)</f>
        <v>0.32</v>
      </c>
      <c r="P180">
        <f>_xlfn.IFNA(VLOOKUP($K180,Paramètres!$A$38:$C$41,2,FALSE),"")</f>
        <v>4</v>
      </c>
      <c r="Q180">
        <f>_xlfn.IFNA(VLOOKUP($K180,Paramètres!$A$38:$C$41,3,FALSE),"")</f>
        <v>5</v>
      </c>
      <c r="R180">
        <v>131</v>
      </c>
      <c r="S180" t="b">
        <v>0</v>
      </c>
      <c r="T180">
        <v>4</v>
      </c>
      <c r="Y180" s="17"/>
      <c r="Z180" s="17"/>
      <c r="AA180" s="17"/>
      <c r="AB180" s="17"/>
    </row>
    <row r="181" spans="1:28" x14ac:dyDescent="0.3">
      <c r="A181" s="10" t="s">
        <v>398</v>
      </c>
      <c r="B181" s="10" t="s">
        <v>399</v>
      </c>
      <c r="C181" s="10" t="s">
        <v>52</v>
      </c>
      <c r="D181" s="15">
        <v>29429</v>
      </c>
      <c r="E181" s="17">
        <v>60.832746</v>
      </c>
      <c r="F181" s="17">
        <v>410.1865606464205</v>
      </c>
      <c r="G181" s="17">
        <v>233.09080988431296</v>
      </c>
      <c r="H181" s="17">
        <v>46.593607517515458</v>
      </c>
      <c r="I181" s="17">
        <v>22.311333325196333</v>
      </c>
      <c r="J181" s="17">
        <v>108.1908099193957</v>
      </c>
      <c r="K181" s="12" t="s">
        <v>681</v>
      </c>
      <c r="L181" s="1">
        <f>VLOOKUP(K181,Paramètres!$A$18:$B$21,2,FALSE)</f>
        <v>0.34</v>
      </c>
      <c r="M181" s="1">
        <f>VLOOKUP($K181,Paramètres!$A$27:$D$30,2,FALSE)</f>
        <v>0.26</v>
      </c>
      <c r="N181" s="1">
        <f>VLOOKUP($K181,Paramètres!$A$27:$D$30,3,FALSE)</f>
        <v>0.33</v>
      </c>
      <c r="O181" s="1">
        <f>VLOOKUP($K181,Paramètres!$A$27:$D$30,4,FALSE)</f>
        <v>0.41</v>
      </c>
      <c r="P181">
        <f>_xlfn.IFNA(VLOOKUP($K181,Paramètres!$A$38:$C$41,2,FALSE),"")</f>
        <v>3</v>
      </c>
      <c r="Q181">
        <f>_xlfn.IFNA(VLOOKUP($K181,Paramètres!$A$38:$C$41,3,FALSE),"")</f>
        <v>5</v>
      </c>
      <c r="R181">
        <v>270</v>
      </c>
      <c r="S181" t="b">
        <v>1</v>
      </c>
      <c r="T181">
        <v>7</v>
      </c>
      <c r="Y181" s="17"/>
      <c r="Z181" s="17"/>
      <c r="AA181" s="17"/>
      <c r="AB181" s="17"/>
    </row>
    <row r="182" spans="1:28" x14ac:dyDescent="0.3">
      <c r="A182" s="10" t="s">
        <v>400</v>
      </c>
      <c r="B182" s="10" t="s">
        <v>401</v>
      </c>
      <c r="C182" s="10" t="s">
        <v>52</v>
      </c>
      <c r="D182" s="15">
        <v>5316</v>
      </c>
      <c r="E182" s="17">
        <v>56.675024999999998</v>
      </c>
      <c r="F182" s="17">
        <v>197.41267641504223</v>
      </c>
      <c r="G182" s="17">
        <v>141.29713349908428</v>
      </c>
      <c r="H182" s="17">
        <v>11.936490525303597</v>
      </c>
      <c r="I182" s="17">
        <v>44.17905239065432</v>
      </c>
      <c r="J182" s="17">
        <v>0</v>
      </c>
      <c r="K182" s="12" t="s">
        <v>682</v>
      </c>
      <c r="L182" s="1">
        <f>VLOOKUP(K182,Paramètres!$A$18:$B$21,2,FALSE)</f>
        <v>0.21</v>
      </c>
      <c r="M182" s="1">
        <f>VLOOKUP($K182,Paramètres!$A$27:$D$30,2,FALSE)</f>
        <v>0.33</v>
      </c>
      <c r="N182" s="1">
        <f>VLOOKUP($K182,Paramètres!$A$27:$D$30,3,FALSE)</f>
        <v>0.35</v>
      </c>
      <c r="O182" s="1">
        <f>VLOOKUP($K182,Paramètres!$A$27:$D$30,4,FALSE)</f>
        <v>0.32</v>
      </c>
      <c r="P182">
        <f>_xlfn.IFNA(VLOOKUP($K182,Paramètres!$A$38:$C$41,2,FALSE),"")</f>
        <v>4</v>
      </c>
      <c r="Q182">
        <f>_xlfn.IFNA(VLOOKUP($K182,Paramètres!$A$38:$C$41,3,FALSE),"")</f>
        <v>5</v>
      </c>
      <c r="R182">
        <v>57</v>
      </c>
      <c r="S182" t="b">
        <v>1</v>
      </c>
      <c r="T182">
        <v>2</v>
      </c>
      <c r="Y182" s="17"/>
      <c r="Z182" s="17"/>
      <c r="AA182" s="17"/>
      <c r="AB182" s="17"/>
    </row>
    <row r="183" spans="1:28" x14ac:dyDescent="0.3">
      <c r="A183" s="10" t="s">
        <v>402</v>
      </c>
      <c r="B183" s="10" t="s">
        <v>403</v>
      </c>
      <c r="C183" s="10" t="s">
        <v>52</v>
      </c>
      <c r="D183" s="15">
        <v>4172</v>
      </c>
      <c r="E183" s="17">
        <v>16.037904000000001</v>
      </c>
      <c r="F183" s="17">
        <v>98.710848268580108</v>
      </c>
      <c r="G183" s="17">
        <v>0</v>
      </c>
      <c r="H183" s="17">
        <v>72.641464978074623</v>
      </c>
      <c r="I183" s="17">
        <v>18.478882217611083</v>
      </c>
      <c r="J183" s="17">
        <v>7.5905010728943951</v>
      </c>
      <c r="K183" s="12" t="s">
        <v>682</v>
      </c>
      <c r="L183" s="1">
        <f>VLOOKUP(K183,Paramètres!$A$18:$B$21,2,FALSE)</f>
        <v>0.21</v>
      </c>
      <c r="M183" s="1">
        <f>VLOOKUP($K183,Paramètres!$A$27:$D$30,2,FALSE)</f>
        <v>0.33</v>
      </c>
      <c r="N183" s="1">
        <f>VLOOKUP($K183,Paramètres!$A$27:$D$30,3,FALSE)</f>
        <v>0.35</v>
      </c>
      <c r="O183" s="1">
        <f>VLOOKUP($K183,Paramètres!$A$27:$D$30,4,FALSE)</f>
        <v>0.32</v>
      </c>
      <c r="P183">
        <f>_xlfn.IFNA(VLOOKUP($K183,Paramètres!$A$38:$C$41,2,FALSE),"")</f>
        <v>4</v>
      </c>
      <c r="Q183">
        <f>_xlfn.IFNA(VLOOKUP($K183,Paramètres!$A$38:$C$41,3,FALSE),"")</f>
        <v>5</v>
      </c>
      <c r="R183">
        <v>74</v>
      </c>
      <c r="S183" t="b">
        <v>0</v>
      </c>
      <c r="T183">
        <v>2</v>
      </c>
      <c r="Y183" s="17"/>
      <c r="Z183" s="17"/>
      <c r="AA183" s="17"/>
      <c r="AB183" s="17"/>
    </row>
    <row r="184" spans="1:28" x14ac:dyDescent="0.3">
      <c r="A184" s="10" t="s">
        <v>404</v>
      </c>
      <c r="B184" s="10" t="s">
        <v>405</v>
      </c>
      <c r="C184" s="10" t="s">
        <v>52</v>
      </c>
      <c r="D184" s="15">
        <v>3243</v>
      </c>
      <c r="E184" s="17">
        <v>65.672017999999994</v>
      </c>
      <c r="F184" s="17">
        <v>238.68182545394583</v>
      </c>
      <c r="G184" s="17">
        <v>203.86947750130105</v>
      </c>
      <c r="H184" s="17">
        <v>6.3816975205258499</v>
      </c>
      <c r="I184" s="17">
        <v>25.48229168716815</v>
      </c>
      <c r="J184" s="17">
        <v>2.9483587449507773</v>
      </c>
      <c r="K184" s="12" t="s">
        <v>682</v>
      </c>
      <c r="L184" s="1">
        <f>VLOOKUP(K184,Paramètres!$A$18:$B$21,2,FALSE)</f>
        <v>0.21</v>
      </c>
      <c r="M184" s="1">
        <f>VLOOKUP($K184,Paramètres!$A$27:$D$30,2,FALSE)</f>
        <v>0.33</v>
      </c>
      <c r="N184" s="1">
        <f>VLOOKUP($K184,Paramètres!$A$27:$D$30,3,FALSE)</f>
        <v>0.35</v>
      </c>
      <c r="O184" s="1">
        <f>VLOOKUP($K184,Paramètres!$A$27:$D$30,4,FALSE)</f>
        <v>0.32</v>
      </c>
      <c r="P184">
        <f>_xlfn.IFNA(VLOOKUP($K184,Paramètres!$A$38:$C$41,2,FALSE),"")</f>
        <v>4</v>
      </c>
      <c r="Q184">
        <f>_xlfn.IFNA(VLOOKUP($K184,Paramètres!$A$38:$C$41,3,FALSE),"")</f>
        <v>5</v>
      </c>
      <c r="R184">
        <v>70</v>
      </c>
      <c r="S184" t="b">
        <v>1</v>
      </c>
      <c r="T184">
        <v>2</v>
      </c>
      <c r="Y184" s="17"/>
      <c r="Z184" s="17"/>
      <c r="AA184" s="17"/>
      <c r="AB184" s="17"/>
    </row>
    <row r="185" spans="1:28" x14ac:dyDescent="0.3">
      <c r="A185" s="10" t="s">
        <v>406</v>
      </c>
      <c r="B185" s="10" t="s">
        <v>407</v>
      </c>
      <c r="C185" s="10" t="s">
        <v>52</v>
      </c>
      <c r="D185" s="15">
        <v>4062</v>
      </c>
      <c r="E185" s="17">
        <v>19.496528999999999</v>
      </c>
      <c r="F185" s="17">
        <v>93.410101560406076</v>
      </c>
      <c r="G185" s="17">
        <v>33.405275097436416</v>
      </c>
      <c r="H185" s="17">
        <v>32.74885191832692</v>
      </c>
      <c r="I185" s="17">
        <v>20.615624338756305</v>
      </c>
      <c r="J185" s="17">
        <v>6.6403502058864383</v>
      </c>
      <c r="K185" s="12" t="s">
        <v>682</v>
      </c>
      <c r="L185" s="1">
        <f>VLOOKUP(K185,Paramètres!$A$18:$B$21,2,FALSE)</f>
        <v>0.21</v>
      </c>
      <c r="M185" s="1">
        <f>VLOOKUP($K185,Paramètres!$A$27:$D$30,2,FALSE)</f>
        <v>0.33</v>
      </c>
      <c r="N185" s="1">
        <f>VLOOKUP($K185,Paramètres!$A$27:$D$30,3,FALSE)</f>
        <v>0.35</v>
      </c>
      <c r="O185" s="1">
        <f>VLOOKUP($K185,Paramètres!$A$27:$D$30,4,FALSE)</f>
        <v>0.32</v>
      </c>
      <c r="P185">
        <f>_xlfn.IFNA(VLOOKUP($K185,Paramètres!$A$38:$C$41,2,FALSE),"")</f>
        <v>4</v>
      </c>
      <c r="Q185">
        <f>_xlfn.IFNA(VLOOKUP($K185,Paramètres!$A$38:$C$41,3,FALSE),"")</f>
        <v>5</v>
      </c>
      <c r="R185">
        <v>87</v>
      </c>
      <c r="S185" t="b">
        <v>0</v>
      </c>
      <c r="T185">
        <v>2</v>
      </c>
      <c r="Y185" s="17"/>
      <c r="Z185" s="17"/>
      <c r="AA185" s="17"/>
      <c r="AB185" s="17"/>
    </row>
    <row r="186" spans="1:28" x14ac:dyDescent="0.3">
      <c r="A186" s="10" t="s">
        <v>408</v>
      </c>
      <c r="B186" s="10" t="s">
        <v>409</v>
      </c>
      <c r="C186" s="10" t="s">
        <v>52</v>
      </c>
      <c r="D186" s="15">
        <v>9092</v>
      </c>
      <c r="E186" s="17">
        <v>50.798029</v>
      </c>
      <c r="F186" s="17">
        <v>228.42443399646305</v>
      </c>
      <c r="G186" s="17">
        <v>149.18967639876468</v>
      </c>
      <c r="H186" s="17">
        <v>2.0399584107277309</v>
      </c>
      <c r="I186" s="17">
        <v>53.717588901295386</v>
      </c>
      <c r="J186" s="17">
        <v>23.477210285675259</v>
      </c>
      <c r="K186" s="12" t="s">
        <v>682</v>
      </c>
      <c r="L186" s="1">
        <f>VLOOKUP(K186,Paramètres!$A$18:$B$21,2,FALSE)</f>
        <v>0.21</v>
      </c>
      <c r="M186" s="1">
        <f>VLOOKUP($K186,Paramètres!$A$27:$D$30,2,FALSE)</f>
        <v>0.33</v>
      </c>
      <c r="N186" s="1">
        <f>VLOOKUP($K186,Paramètres!$A$27:$D$30,3,FALSE)</f>
        <v>0.35</v>
      </c>
      <c r="O186" s="1">
        <f>VLOOKUP($K186,Paramètres!$A$27:$D$30,4,FALSE)</f>
        <v>0.32</v>
      </c>
      <c r="P186">
        <f>_xlfn.IFNA(VLOOKUP($K186,Paramètres!$A$38:$C$41,2,FALSE),"")</f>
        <v>4</v>
      </c>
      <c r="Q186">
        <f>_xlfn.IFNA(VLOOKUP($K186,Paramètres!$A$38:$C$41,3,FALSE),"")</f>
        <v>5</v>
      </c>
      <c r="R186">
        <v>113</v>
      </c>
      <c r="S186" t="b">
        <v>0</v>
      </c>
      <c r="T186">
        <v>3</v>
      </c>
      <c r="Y186" s="17"/>
      <c r="Z186" s="17"/>
      <c r="AA186" s="17"/>
      <c r="AB186" s="17"/>
    </row>
    <row r="187" spans="1:28" x14ac:dyDescent="0.3">
      <c r="A187" s="10" t="s">
        <v>410</v>
      </c>
      <c r="B187" s="10" t="s">
        <v>411</v>
      </c>
      <c r="C187" s="10" t="s">
        <v>52</v>
      </c>
      <c r="D187" s="15">
        <v>31766</v>
      </c>
      <c r="E187" s="17">
        <v>33.40437</v>
      </c>
      <c r="F187" s="17">
        <v>377.72577078785838</v>
      </c>
      <c r="G187" s="17">
        <v>91.254614290239402</v>
      </c>
      <c r="H187" s="17">
        <v>60.018231376922472</v>
      </c>
      <c r="I187" s="17">
        <v>103.29510883264625</v>
      </c>
      <c r="J187" s="17">
        <v>123.15781628805023</v>
      </c>
      <c r="K187" s="12" t="s">
        <v>681</v>
      </c>
      <c r="L187" s="1">
        <f>VLOOKUP(K187,Paramètres!$A$18:$B$21,2,FALSE)</f>
        <v>0.34</v>
      </c>
      <c r="M187" s="1">
        <f>VLOOKUP($K187,Paramètres!$A$27:$D$30,2,FALSE)</f>
        <v>0.26</v>
      </c>
      <c r="N187" s="1">
        <f>VLOOKUP($K187,Paramètres!$A$27:$D$30,3,FALSE)</f>
        <v>0.33</v>
      </c>
      <c r="O187" s="1">
        <f>VLOOKUP($K187,Paramètres!$A$27:$D$30,4,FALSE)</f>
        <v>0.41</v>
      </c>
      <c r="P187">
        <f>_xlfn.IFNA(VLOOKUP($K187,Paramètres!$A$38:$C$41,2,FALSE),"")</f>
        <v>3</v>
      </c>
      <c r="Q187">
        <f>_xlfn.IFNA(VLOOKUP($K187,Paramètres!$A$38:$C$41,3,FALSE),"")</f>
        <v>5</v>
      </c>
      <c r="R187">
        <v>351</v>
      </c>
      <c r="S187" t="b">
        <v>0</v>
      </c>
      <c r="T187">
        <v>9</v>
      </c>
      <c r="Y187" s="17"/>
      <c r="Z187" s="17"/>
      <c r="AA187" s="17"/>
      <c r="AB187" s="17"/>
    </row>
    <row r="188" spans="1:28" x14ac:dyDescent="0.3">
      <c r="A188" s="10" t="s">
        <v>412</v>
      </c>
      <c r="B188" s="10" t="s">
        <v>413</v>
      </c>
      <c r="C188" s="10" t="s">
        <v>52</v>
      </c>
      <c r="D188" s="15">
        <v>2822</v>
      </c>
      <c r="E188" s="17">
        <v>40.238438000000002</v>
      </c>
      <c r="F188" s="17">
        <v>162.13472430281607</v>
      </c>
      <c r="G188" s="17">
        <v>134.64554161080977</v>
      </c>
      <c r="H188" s="17">
        <v>4.7577648687236174</v>
      </c>
      <c r="I188" s="17">
        <v>13.978468837840914</v>
      </c>
      <c r="J188" s="17">
        <v>8.7529489854417761</v>
      </c>
      <c r="K188" s="12" t="s">
        <v>682</v>
      </c>
      <c r="L188" s="1">
        <f>VLOOKUP(K188,Paramètres!$A$18:$B$21,2,FALSE)</f>
        <v>0.21</v>
      </c>
      <c r="M188" s="1">
        <f>VLOOKUP($K188,Paramètres!$A$27:$D$30,2,FALSE)</f>
        <v>0.33</v>
      </c>
      <c r="N188" s="1">
        <f>VLOOKUP($K188,Paramètres!$A$27:$D$30,3,FALSE)</f>
        <v>0.35</v>
      </c>
      <c r="O188" s="1">
        <f>VLOOKUP($K188,Paramètres!$A$27:$D$30,4,FALSE)</f>
        <v>0.32</v>
      </c>
      <c r="P188">
        <f>_xlfn.IFNA(VLOOKUP($K188,Paramètres!$A$38:$C$41,2,FALSE),"")</f>
        <v>4</v>
      </c>
      <c r="Q188">
        <f>_xlfn.IFNA(VLOOKUP($K188,Paramètres!$A$38:$C$41,3,FALSE),"")</f>
        <v>5</v>
      </c>
      <c r="R188">
        <v>84</v>
      </c>
      <c r="S188" t="b">
        <v>0</v>
      </c>
      <c r="T188">
        <v>2</v>
      </c>
      <c r="Y188" s="17"/>
      <c r="Z188" s="17"/>
      <c r="AA188" s="17"/>
      <c r="AB188" s="17"/>
    </row>
    <row r="189" spans="1:28" x14ac:dyDescent="0.3">
      <c r="A189" s="10" t="s">
        <v>414</v>
      </c>
      <c r="B189" s="10" t="s">
        <v>415</v>
      </c>
      <c r="C189" s="10" t="s">
        <v>52</v>
      </c>
      <c r="D189" s="15">
        <v>25846</v>
      </c>
      <c r="E189" s="17">
        <v>36.089776999999998</v>
      </c>
      <c r="F189" s="17">
        <v>243.85075776354137</v>
      </c>
      <c r="G189" s="17">
        <v>36.498190675769159</v>
      </c>
      <c r="H189" s="17">
        <v>68.37199303340158</v>
      </c>
      <c r="I189" s="17">
        <v>29.890239542043592</v>
      </c>
      <c r="J189" s="17">
        <v>109.09033451232705</v>
      </c>
      <c r="K189" s="12" t="s">
        <v>682</v>
      </c>
      <c r="L189" s="1">
        <f>VLOOKUP(K189,Paramètres!$A$18:$B$21,2,FALSE)</f>
        <v>0.21</v>
      </c>
      <c r="M189" s="1">
        <f>VLOOKUP($K189,Paramètres!$A$27:$D$30,2,FALSE)</f>
        <v>0.33</v>
      </c>
      <c r="N189" s="1">
        <f>VLOOKUP($K189,Paramètres!$A$27:$D$30,3,FALSE)</f>
        <v>0.35</v>
      </c>
      <c r="O189" s="1">
        <f>VLOOKUP($K189,Paramètres!$A$27:$D$30,4,FALSE)</f>
        <v>0.32</v>
      </c>
      <c r="P189">
        <f>_xlfn.IFNA(VLOOKUP($K189,Paramètres!$A$38:$C$41,2,FALSE),"")</f>
        <v>4</v>
      </c>
      <c r="Q189">
        <f>_xlfn.IFNA(VLOOKUP($K189,Paramètres!$A$38:$C$41,3,FALSE),"")</f>
        <v>5</v>
      </c>
      <c r="R189">
        <v>192</v>
      </c>
      <c r="S189" t="b">
        <v>1</v>
      </c>
      <c r="T189">
        <v>5</v>
      </c>
      <c r="Y189" s="17"/>
      <c r="Z189" s="17"/>
      <c r="AA189" s="17"/>
      <c r="AB189" s="17"/>
    </row>
    <row r="190" spans="1:28" x14ac:dyDescent="0.3">
      <c r="A190" s="10" t="s">
        <v>416</v>
      </c>
      <c r="B190" s="10" t="s">
        <v>417</v>
      </c>
      <c r="C190" s="10" t="s">
        <v>52</v>
      </c>
      <c r="D190" s="15">
        <v>5530</v>
      </c>
      <c r="E190" s="17">
        <v>111.252612</v>
      </c>
      <c r="F190" s="17">
        <v>487.73091564410078</v>
      </c>
      <c r="G190" s="17">
        <v>434.42851360195874</v>
      </c>
      <c r="H190" s="17">
        <v>5.2235018084705649</v>
      </c>
      <c r="I190" s="17">
        <v>34.804576132984359</v>
      </c>
      <c r="J190" s="17">
        <v>13.27432410068708</v>
      </c>
      <c r="K190" s="12" t="s">
        <v>682</v>
      </c>
      <c r="L190" s="70">
        <f>VLOOKUP(K190,Paramètres!$A$18:$B$21,2,FALSE)</f>
        <v>0.21</v>
      </c>
      <c r="M190" s="70">
        <f>VLOOKUP($K190,Paramètres!$A$27:$D$30,2,FALSE)</f>
        <v>0.33</v>
      </c>
      <c r="N190" s="70">
        <f>VLOOKUP($K190,Paramètres!$A$27:$D$30,3,FALSE)</f>
        <v>0.35</v>
      </c>
      <c r="O190" s="70">
        <f>VLOOKUP($K190,Paramètres!$A$27:$D$30,4,FALSE)</f>
        <v>0.32</v>
      </c>
      <c r="P190">
        <f>_xlfn.IFNA(VLOOKUP($K190,Paramètres!$A$38:$C$41,2,FALSE),"")</f>
        <v>4</v>
      </c>
      <c r="Q190">
        <f>_xlfn.IFNA(VLOOKUP($K190,Paramètres!$A$38:$C$41,3,FALSE),"")</f>
        <v>5</v>
      </c>
      <c r="R190">
        <v>90</v>
      </c>
      <c r="S190" t="b">
        <v>1</v>
      </c>
      <c r="T190">
        <v>2</v>
      </c>
      <c r="Y190" s="17"/>
      <c r="Z190" s="17"/>
      <c r="AA190" s="17"/>
      <c r="AB190" s="17"/>
    </row>
    <row r="191" spans="1:28" x14ac:dyDescent="0.3">
      <c r="A191" s="10" t="s">
        <v>418</v>
      </c>
      <c r="B191" s="10" t="s">
        <v>419</v>
      </c>
      <c r="C191" s="10" t="s">
        <v>52</v>
      </c>
      <c r="D191" s="15">
        <v>5899</v>
      </c>
      <c r="E191" s="17">
        <v>33.148344000000002</v>
      </c>
      <c r="F191" s="17">
        <v>142.93977613776991</v>
      </c>
      <c r="G191" s="17">
        <v>53.652122394032219</v>
      </c>
      <c r="H191" s="17">
        <v>56.919806856326311</v>
      </c>
      <c r="I191" s="17">
        <v>9.2177778752314854</v>
      </c>
      <c r="J191" s="17">
        <v>23.150069012179888</v>
      </c>
      <c r="K191" s="12" t="s">
        <v>682</v>
      </c>
      <c r="L191" s="1">
        <f>VLOOKUP(K191,Paramètres!$A$18:$B$21,2,FALSE)</f>
        <v>0.21</v>
      </c>
      <c r="M191" s="1">
        <f>VLOOKUP($K191,Paramètres!$A$27:$D$30,2,FALSE)</f>
        <v>0.33</v>
      </c>
      <c r="N191" s="1">
        <f>VLOOKUP($K191,Paramètres!$A$27:$D$30,3,FALSE)</f>
        <v>0.35</v>
      </c>
      <c r="O191" s="1">
        <f>VLOOKUP($K191,Paramètres!$A$27:$D$30,4,FALSE)</f>
        <v>0.32</v>
      </c>
      <c r="P191">
        <f>_xlfn.IFNA(VLOOKUP($K191,Paramètres!$A$38:$C$41,2,FALSE),"")</f>
        <v>4</v>
      </c>
      <c r="Q191">
        <f>_xlfn.IFNA(VLOOKUP($K191,Paramètres!$A$38:$C$41,3,FALSE),"")</f>
        <v>5</v>
      </c>
      <c r="R191">
        <v>100</v>
      </c>
      <c r="S191" t="b">
        <v>1</v>
      </c>
      <c r="T191">
        <v>3</v>
      </c>
      <c r="Y191" s="17"/>
      <c r="Z191" s="17"/>
      <c r="AA191" s="17"/>
      <c r="AB191" s="17"/>
    </row>
    <row r="192" spans="1:28" x14ac:dyDescent="0.3">
      <c r="A192" s="10" t="s">
        <v>420</v>
      </c>
      <c r="B192" s="10" t="s">
        <v>421</v>
      </c>
      <c r="C192" s="10" t="s">
        <v>52</v>
      </c>
      <c r="D192" s="15">
        <v>9294</v>
      </c>
      <c r="E192" s="17">
        <v>24.895854</v>
      </c>
      <c r="F192" s="17">
        <v>165.44491734586333</v>
      </c>
      <c r="G192" s="17">
        <v>51.727733553509019</v>
      </c>
      <c r="H192" s="17">
        <v>71.191515099645656</v>
      </c>
      <c r="I192" s="17">
        <v>4.5040169348643362</v>
      </c>
      <c r="J192" s="17">
        <v>38.021651757844317</v>
      </c>
      <c r="K192" s="12" t="s">
        <v>682</v>
      </c>
      <c r="L192" s="1">
        <f>VLOOKUP(K192,Paramètres!$A$18:$B$21,2,FALSE)</f>
        <v>0.21</v>
      </c>
      <c r="M192" s="1">
        <f>VLOOKUP($K192,Paramètres!$A$27:$D$30,2,FALSE)</f>
        <v>0.33</v>
      </c>
      <c r="N192" s="1">
        <f>VLOOKUP($K192,Paramètres!$A$27:$D$30,3,FALSE)</f>
        <v>0.35</v>
      </c>
      <c r="O192" s="1">
        <f>VLOOKUP($K192,Paramètres!$A$27:$D$30,4,FALSE)</f>
        <v>0.32</v>
      </c>
      <c r="P192">
        <f>_xlfn.IFNA(VLOOKUP($K192,Paramètres!$A$38:$C$41,2,FALSE),"")</f>
        <v>4</v>
      </c>
      <c r="Q192">
        <f>_xlfn.IFNA(VLOOKUP($K192,Paramètres!$A$38:$C$41,3,FALSE),"")</f>
        <v>5</v>
      </c>
      <c r="R192">
        <v>153</v>
      </c>
      <c r="S192" t="b">
        <v>1</v>
      </c>
      <c r="T192">
        <v>4</v>
      </c>
      <c r="Y192" s="17"/>
      <c r="Z192" s="17"/>
      <c r="AA192" s="17"/>
      <c r="AB192" s="17"/>
    </row>
    <row r="193" spans="1:28" x14ac:dyDescent="0.3">
      <c r="A193" s="10" t="s">
        <v>727</v>
      </c>
      <c r="B193" s="10" t="s">
        <v>422</v>
      </c>
      <c r="C193" s="10" t="s">
        <v>52</v>
      </c>
      <c r="D193" s="15">
        <v>17350</v>
      </c>
      <c r="E193" s="17">
        <v>61.001665000000003</v>
      </c>
      <c r="F193" s="17">
        <v>317.75178523210263</v>
      </c>
      <c r="G193" s="17">
        <v>146.42163579732244</v>
      </c>
      <c r="H193" s="17">
        <v>66.669078126262633</v>
      </c>
      <c r="I193" s="17">
        <v>70.335389547686219</v>
      </c>
      <c r="J193" s="17">
        <v>34.325681760831351</v>
      </c>
      <c r="K193" s="12" t="s">
        <v>682</v>
      </c>
      <c r="L193" s="1">
        <f>VLOOKUP(K193,Paramètres!$A$18:$B$21,2,FALSE)</f>
        <v>0.21</v>
      </c>
      <c r="M193" s="1">
        <f>VLOOKUP($K193,Paramètres!$A$27:$D$30,2,FALSE)</f>
        <v>0.33</v>
      </c>
      <c r="N193" s="1">
        <f>VLOOKUP($K193,Paramètres!$A$27:$D$30,3,FALSE)</f>
        <v>0.35</v>
      </c>
      <c r="O193" s="1">
        <f>VLOOKUP($K193,Paramètres!$A$27:$D$30,4,FALSE)</f>
        <v>0.32</v>
      </c>
      <c r="P193">
        <f>_xlfn.IFNA(VLOOKUP($K193,Paramètres!$A$38:$C$41,2,FALSE),"")</f>
        <v>4</v>
      </c>
      <c r="Q193">
        <f>_xlfn.IFNA(VLOOKUP($K193,Paramètres!$A$38:$C$41,3,FALSE),"")</f>
        <v>5</v>
      </c>
      <c r="R193">
        <v>229</v>
      </c>
      <c r="S193" t="b">
        <v>1</v>
      </c>
      <c r="T193">
        <v>6</v>
      </c>
      <c r="Y193" s="17"/>
      <c r="Z193" s="17"/>
      <c r="AA193" s="17"/>
      <c r="AB193" s="17"/>
    </row>
    <row r="194" spans="1:28" x14ac:dyDescent="0.3">
      <c r="A194" s="10" t="s">
        <v>423</v>
      </c>
      <c r="B194" s="10" t="s">
        <v>424</v>
      </c>
      <c r="C194" s="10" t="s">
        <v>52</v>
      </c>
      <c r="D194" s="15">
        <v>9844</v>
      </c>
      <c r="E194" s="17">
        <v>51.170037999999998</v>
      </c>
      <c r="F194" s="17">
        <v>206.51891496340269</v>
      </c>
      <c r="G194" s="17">
        <v>120.65057180257797</v>
      </c>
      <c r="H194" s="17">
        <v>27.923469125195343</v>
      </c>
      <c r="I194" s="17">
        <v>33.914739184624686</v>
      </c>
      <c r="J194" s="17">
        <v>24.030134851004693</v>
      </c>
      <c r="K194" s="12" t="s">
        <v>682</v>
      </c>
      <c r="L194" s="1">
        <f>VLOOKUP(K194,Paramètres!$A$18:$B$21,2,FALSE)</f>
        <v>0.21</v>
      </c>
      <c r="M194" s="1">
        <f>VLOOKUP($K194,Paramètres!$A$27:$D$30,2,FALSE)</f>
        <v>0.33</v>
      </c>
      <c r="N194" s="1">
        <f>VLOOKUP($K194,Paramètres!$A$27:$D$30,3,FALSE)</f>
        <v>0.35</v>
      </c>
      <c r="O194" s="1">
        <f>VLOOKUP($K194,Paramètres!$A$27:$D$30,4,FALSE)</f>
        <v>0.32</v>
      </c>
      <c r="P194">
        <f>_xlfn.IFNA(VLOOKUP($K194,Paramètres!$A$38:$C$41,2,FALSE),"")</f>
        <v>4</v>
      </c>
      <c r="Q194">
        <f>_xlfn.IFNA(VLOOKUP($K194,Paramètres!$A$38:$C$41,3,FALSE),"")</f>
        <v>5</v>
      </c>
      <c r="R194">
        <v>148</v>
      </c>
      <c r="S194" t="b">
        <v>1</v>
      </c>
      <c r="T194">
        <v>4</v>
      </c>
      <c r="Y194" s="17"/>
      <c r="Z194" s="17"/>
      <c r="AA194" s="17"/>
      <c r="AB194" s="17"/>
    </row>
    <row r="195" spans="1:28" x14ac:dyDescent="0.3">
      <c r="A195" s="10" t="s">
        <v>425</v>
      </c>
      <c r="B195" s="10" t="s">
        <v>426</v>
      </c>
      <c r="C195" s="10" t="s">
        <v>52</v>
      </c>
      <c r="D195" s="15">
        <v>9589</v>
      </c>
      <c r="E195" s="17">
        <v>157.35154800000001</v>
      </c>
      <c r="F195" s="17">
        <v>495.93119173572961</v>
      </c>
      <c r="G195" s="17">
        <v>374.69668044468409</v>
      </c>
      <c r="H195" s="17">
        <v>36.408485189285152</v>
      </c>
      <c r="I195" s="17">
        <v>63.070263711725964</v>
      </c>
      <c r="J195" s="17">
        <v>21.755762390034398</v>
      </c>
      <c r="K195" s="12" t="s">
        <v>682</v>
      </c>
      <c r="L195" s="1">
        <f>VLOOKUP(K195,Paramètres!$A$18:$B$21,2,FALSE)</f>
        <v>0.21</v>
      </c>
      <c r="M195" s="1">
        <f>VLOOKUP($K195,Paramètres!$A$27:$D$30,2,FALSE)</f>
        <v>0.33</v>
      </c>
      <c r="N195" s="1">
        <f>VLOOKUP($K195,Paramètres!$A$27:$D$30,3,FALSE)</f>
        <v>0.35</v>
      </c>
      <c r="O195" s="1">
        <f>VLOOKUP($K195,Paramètres!$A$27:$D$30,4,FALSE)</f>
        <v>0.32</v>
      </c>
      <c r="P195">
        <f>_xlfn.IFNA(VLOOKUP($K195,Paramètres!$A$38:$C$41,2,FALSE),"")</f>
        <v>4</v>
      </c>
      <c r="Q195">
        <f>_xlfn.IFNA(VLOOKUP($K195,Paramètres!$A$38:$C$41,3,FALSE),"")</f>
        <v>5</v>
      </c>
      <c r="R195">
        <v>155</v>
      </c>
      <c r="S195" t="b">
        <v>0</v>
      </c>
      <c r="T195">
        <v>4</v>
      </c>
      <c r="Y195" s="17"/>
      <c r="Z195" s="17"/>
      <c r="AA195" s="17"/>
      <c r="AB195" s="17"/>
    </row>
    <row r="196" spans="1:28" x14ac:dyDescent="0.3">
      <c r="A196" s="10" t="s">
        <v>733</v>
      </c>
      <c r="B196" s="10" t="s">
        <v>427</v>
      </c>
      <c r="C196" s="10" t="s">
        <v>52</v>
      </c>
      <c r="D196" s="15">
        <v>10814</v>
      </c>
      <c r="E196" s="17">
        <v>53.170430000000003</v>
      </c>
      <c r="F196" s="17">
        <v>243.17508327908661</v>
      </c>
      <c r="G196" s="17">
        <v>95.371291048756333</v>
      </c>
      <c r="H196" s="17">
        <v>94.374529979499641</v>
      </c>
      <c r="I196" s="17">
        <v>13.505214343768367</v>
      </c>
      <c r="J196" s="17">
        <v>39.924047907062231</v>
      </c>
      <c r="K196" s="12" t="s">
        <v>682</v>
      </c>
      <c r="L196" s="1">
        <f>VLOOKUP(K196,Paramètres!$A$18:$B$21,2,FALSE)</f>
        <v>0.21</v>
      </c>
      <c r="M196" s="1">
        <f>VLOOKUP($K196,Paramètres!$A$27:$D$30,2,FALSE)</f>
        <v>0.33</v>
      </c>
      <c r="N196" s="1">
        <f>VLOOKUP($K196,Paramètres!$A$27:$D$30,3,FALSE)</f>
        <v>0.35</v>
      </c>
      <c r="O196" s="1">
        <f>VLOOKUP($K196,Paramètres!$A$27:$D$30,4,FALSE)</f>
        <v>0.32</v>
      </c>
      <c r="P196">
        <f>_xlfn.IFNA(VLOOKUP($K196,Paramètres!$A$38:$C$41,2,FALSE),"")</f>
        <v>4</v>
      </c>
      <c r="Q196">
        <f>_xlfn.IFNA(VLOOKUP($K196,Paramètres!$A$38:$C$41,3,FALSE),"")</f>
        <v>5</v>
      </c>
      <c r="R196">
        <v>152</v>
      </c>
      <c r="S196" t="b">
        <v>1</v>
      </c>
      <c r="T196">
        <v>4</v>
      </c>
      <c r="Y196" s="17"/>
      <c r="Z196" s="17"/>
      <c r="AA196" s="17"/>
      <c r="AB196" s="17"/>
    </row>
    <row r="197" spans="1:28" x14ac:dyDescent="0.3">
      <c r="A197" s="10" t="s">
        <v>428</v>
      </c>
      <c r="B197" s="10" t="s">
        <v>429</v>
      </c>
      <c r="C197" s="10" t="s">
        <v>52</v>
      </c>
      <c r="D197" s="15">
        <v>17662</v>
      </c>
      <c r="E197" s="17">
        <v>56.101533000000003</v>
      </c>
      <c r="F197" s="17">
        <v>263.28643807562105</v>
      </c>
      <c r="G197" s="17">
        <v>129.37913268550784</v>
      </c>
      <c r="H197" s="17">
        <v>45.515726350349084</v>
      </c>
      <c r="I197" s="17">
        <v>19.121156840832761</v>
      </c>
      <c r="J197" s="17">
        <v>69.270422198931385</v>
      </c>
      <c r="K197" s="12" t="s">
        <v>682</v>
      </c>
      <c r="L197" s="1">
        <f>VLOOKUP(K197,Paramètres!$A$18:$B$21,2,FALSE)</f>
        <v>0.21</v>
      </c>
      <c r="M197" s="1">
        <f>VLOOKUP($K197,Paramètres!$A$27:$D$30,2,FALSE)</f>
        <v>0.33</v>
      </c>
      <c r="N197" s="1">
        <f>VLOOKUP($K197,Paramètres!$A$27:$D$30,3,FALSE)</f>
        <v>0.35</v>
      </c>
      <c r="O197" s="1">
        <f>VLOOKUP($K197,Paramètres!$A$27:$D$30,4,FALSE)</f>
        <v>0.32</v>
      </c>
      <c r="P197">
        <f>_xlfn.IFNA(VLOOKUP($K197,Paramètres!$A$38:$C$41,2,FALSE),"")</f>
        <v>4</v>
      </c>
      <c r="Q197">
        <f>_xlfn.IFNA(VLOOKUP($K197,Paramètres!$A$38:$C$41,3,FALSE),"")</f>
        <v>5</v>
      </c>
      <c r="R197">
        <v>178</v>
      </c>
      <c r="S197" t="b">
        <v>0</v>
      </c>
      <c r="T197">
        <v>5</v>
      </c>
      <c r="Y197" s="17"/>
      <c r="Z197" s="17"/>
      <c r="AA197" s="17"/>
      <c r="AB197" s="17"/>
    </row>
    <row r="198" spans="1:28" x14ac:dyDescent="0.3">
      <c r="A198" s="10" t="s">
        <v>430</v>
      </c>
      <c r="B198" s="10" t="s">
        <v>431</v>
      </c>
      <c r="C198" s="10" t="s">
        <v>52</v>
      </c>
      <c r="D198" s="15">
        <v>12322</v>
      </c>
      <c r="E198" s="17">
        <v>50.372892</v>
      </c>
      <c r="F198" s="17">
        <v>271.72997681642329</v>
      </c>
      <c r="G198" s="17">
        <v>76.56459124451375</v>
      </c>
      <c r="H198" s="17">
        <v>111.18947781166312</v>
      </c>
      <c r="I198" s="17">
        <v>60.777802973041069</v>
      </c>
      <c r="J198" s="17">
        <v>23.198104787205345</v>
      </c>
      <c r="K198" s="12" t="s">
        <v>682</v>
      </c>
      <c r="L198" s="1">
        <f>VLOOKUP(K198,Paramètres!$A$18:$B$21,2,FALSE)</f>
        <v>0.21</v>
      </c>
      <c r="M198" s="1">
        <f>VLOOKUP($K198,Paramètres!$A$27:$D$30,2,FALSE)</f>
        <v>0.33</v>
      </c>
      <c r="N198" s="1">
        <f>VLOOKUP($K198,Paramètres!$A$27:$D$30,3,FALSE)</f>
        <v>0.35</v>
      </c>
      <c r="O198" s="1">
        <f>VLOOKUP($K198,Paramètres!$A$27:$D$30,4,FALSE)</f>
        <v>0.32</v>
      </c>
      <c r="P198">
        <f>_xlfn.IFNA(VLOOKUP($K198,Paramètres!$A$38:$C$41,2,FALSE),"")</f>
        <v>4</v>
      </c>
      <c r="Q198">
        <f>_xlfn.IFNA(VLOOKUP($K198,Paramètres!$A$38:$C$41,3,FALSE),"")</f>
        <v>5</v>
      </c>
      <c r="R198">
        <v>64</v>
      </c>
      <c r="S198" t="b">
        <v>1</v>
      </c>
      <c r="T198">
        <v>2</v>
      </c>
      <c r="Y198" s="17"/>
      <c r="Z198" s="17"/>
      <c r="AA198" s="17"/>
      <c r="AB198" s="17"/>
    </row>
    <row r="199" spans="1:28" x14ac:dyDescent="0.3">
      <c r="A199" s="10" t="s">
        <v>432</v>
      </c>
      <c r="B199" s="10" t="s">
        <v>433</v>
      </c>
      <c r="C199" s="10" t="s">
        <v>52</v>
      </c>
      <c r="D199" s="15">
        <v>19022</v>
      </c>
      <c r="E199" s="17">
        <v>11.209192</v>
      </c>
      <c r="F199" s="17">
        <v>126.40574646143718</v>
      </c>
      <c r="G199" s="17">
        <v>10.695159909059342</v>
      </c>
      <c r="H199" s="17">
        <v>20.306363709311768</v>
      </c>
      <c r="I199" s="17">
        <v>41.610395406341027</v>
      </c>
      <c r="J199" s="17">
        <v>53.793827436725032</v>
      </c>
      <c r="K199" s="12" t="s">
        <v>681</v>
      </c>
      <c r="L199" s="1">
        <f>VLOOKUP(K199,Paramètres!$A$18:$B$21,2,FALSE)</f>
        <v>0.34</v>
      </c>
      <c r="M199" s="1">
        <f>VLOOKUP($K199,Paramètres!$A$27:$D$30,2,FALSE)</f>
        <v>0.26</v>
      </c>
      <c r="N199" s="1">
        <f>VLOOKUP($K199,Paramètres!$A$27:$D$30,3,FALSE)</f>
        <v>0.33</v>
      </c>
      <c r="O199" s="1">
        <f>VLOOKUP($K199,Paramètres!$A$27:$D$30,4,FALSE)</f>
        <v>0.41</v>
      </c>
      <c r="P199">
        <f>_xlfn.IFNA(VLOOKUP($K199,Paramètres!$A$38:$C$41,2,FALSE),"")</f>
        <v>3</v>
      </c>
      <c r="Q199">
        <f>_xlfn.IFNA(VLOOKUP($K199,Paramètres!$A$38:$C$41,3,FALSE),"")</f>
        <v>5</v>
      </c>
      <c r="R199">
        <v>150</v>
      </c>
      <c r="S199" t="b">
        <v>0</v>
      </c>
      <c r="T199">
        <v>4</v>
      </c>
      <c r="Y199" s="17"/>
      <c r="Z199" s="17"/>
      <c r="AA199" s="17"/>
      <c r="AB199" s="17"/>
    </row>
    <row r="200" spans="1:28" x14ac:dyDescent="0.3">
      <c r="A200" s="10" t="s">
        <v>734</v>
      </c>
      <c r="B200" s="10" t="s">
        <v>434</v>
      </c>
      <c r="C200" s="10" t="s">
        <v>52</v>
      </c>
      <c r="D200" s="15">
        <v>8194</v>
      </c>
      <c r="E200" s="17">
        <v>65.383567999999997</v>
      </c>
      <c r="F200" s="17">
        <v>257.7723229894213</v>
      </c>
      <c r="G200" s="17">
        <v>158.56732875655467</v>
      </c>
      <c r="H200" s="17">
        <v>31.798476114230549</v>
      </c>
      <c r="I200" s="17">
        <v>38.114468748168193</v>
      </c>
      <c r="J200" s="17">
        <v>29.292049370467907</v>
      </c>
      <c r="K200" s="12" t="s">
        <v>682</v>
      </c>
      <c r="L200" s="1">
        <f>VLOOKUP(K200,Paramètres!$A$18:$B$21,2,FALSE)</f>
        <v>0.21</v>
      </c>
      <c r="M200" s="1">
        <f>VLOOKUP($K200,Paramètres!$A$27:$D$30,2,FALSE)</f>
        <v>0.33</v>
      </c>
      <c r="N200" s="1">
        <f>VLOOKUP($K200,Paramètres!$A$27:$D$30,3,FALSE)</f>
        <v>0.35</v>
      </c>
      <c r="O200" s="1">
        <f>VLOOKUP($K200,Paramètres!$A$27:$D$30,4,FALSE)</f>
        <v>0.32</v>
      </c>
      <c r="P200">
        <f>_xlfn.IFNA(VLOOKUP($K200,Paramètres!$A$38:$C$41,2,FALSE),"")</f>
        <v>4</v>
      </c>
      <c r="Q200">
        <f>_xlfn.IFNA(VLOOKUP($K200,Paramètres!$A$38:$C$41,3,FALSE),"")</f>
        <v>5</v>
      </c>
      <c r="R200">
        <v>68</v>
      </c>
      <c r="S200" t="b">
        <v>1</v>
      </c>
      <c r="T200">
        <v>2</v>
      </c>
      <c r="Y200" s="17"/>
      <c r="Z200" s="17"/>
      <c r="AA200" s="17"/>
      <c r="AB200" s="17"/>
    </row>
    <row r="201" spans="1:28" x14ac:dyDescent="0.3">
      <c r="A201" s="10" t="s">
        <v>435</v>
      </c>
      <c r="B201" s="10" t="s">
        <v>436</v>
      </c>
      <c r="C201" s="10" t="s">
        <v>52</v>
      </c>
      <c r="D201" s="15">
        <v>6861</v>
      </c>
      <c r="E201" s="17">
        <v>21.481914</v>
      </c>
      <c r="F201" s="17">
        <v>82.145696056892817</v>
      </c>
      <c r="G201" s="17">
        <v>45.919124177003653</v>
      </c>
      <c r="H201" s="17">
        <v>4.564518049136665</v>
      </c>
      <c r="I201" s="17">
        <v>9.6917692831864883</v>
      </c>
      <c r="J201" s="17">
        <v>21.97028454756601</v>
      </c>
      <c r="K201" s="12" t="s">
        <v>682</v>
      </c>
      <c r="L201" s="1">
        <f>VLOOKUP(K201,Paramètres!$A$18:$B$21,2,FALSE)</f>
        <v>0.21</v>
      </c>
      <c r="M201" s="1">
        <f>VLOOKUP($K201,Paramètres!$A$27:$D$30,2,FALSE)</f>
        <v>0.33</v>
      </c>
      <c r="N201" s="1">
        <f>VLOOKUP($K201,Paramètres!$A$27:$D$30,3,FALSE)</f>
        <v>0.35</v>
      </c>
      <c r="O201" s="1">
        <f>VLOOKUP($K201,Paramètres!$A$27:$D$30,4,FALSE)</f>
        <v>0.32</v>
      </c>
      <c r="P201">
        <f>_xlfn.IFNA(VLOOKUP($K201,Paramètres!$A$38:$C$41,2,FALSE),"")</f>
        <v>4</v>
      </c>
      <c r="Q201">
        <f>_xlfn.IFNA(VLOOKUP($K201,Paramètres!$A$38:$C$41,3,FALSE),"")</f>
        <v>5</v>
      </c>
      <c r="R201">
        <v>93</v>
      </c>
      <c r="S201" t="b">
        <v>0</v>
      </c>
      <c r="T201">
        <v>3</v>
      </c>
      <c r="Y201" s="17"/>
      <c r="Z201" s="17"/>
      <c r="AA201" s="17"/>
      <c r="AB201" s="17"/>
    </row>
    <row r="202" spans="1:28" x14ac:dyDescent="0.3">
      <c r="A202" s="10" t="s">
        <v>437</v>
      </c>
      <c r="B202" s="10" t="s">
        <v>438</v>
      </c>
      <c r="C202" s="10" t="s">
        <v>52</v>
      </c>
      <c r="D202" s="15">
        <v>11185</v>
      </c>
      <c r="E202" s="17">
        <v>72.812428999999995</v>
      </c>
      <c r="F202" s="17">
        <v>331.32198828111018</v>
      </c>
      <c r="G202" s="17">
        <v>141.18544425563277</v>
      </c>
      <c r="H202" s="17">
        <v>140.31561841513167</v>
      </c>
      <c r="I202" s="17">
        <v>13.231523667738518</v>
      </c>
      <c r="J202" s="17">
        <v>36.589401942607246</v>
      </c>
      <c r="K202" s="12" t="s">
        <v>682</v>
      </c>
      <c r="L202" s="1">
        <f>VLOOKUP(K202,Paramètres!$A$18:$B$21,2,FALSE)</f>
        <v>0.21</v>
      </c>
      <c r="M202" s="1">
        <f>VLOOKUP($K202,Paramètres!$A$27:$D$30,2,FALSE)</f>
        <v>0.33</v>
      </c>
      <c r="N202" s="1">
        <f>VLOOKUP($K202,Paramètres!$A$27:$D$30,3,FALSE)</f>
        <v>0.35</v>
      </c>
      <c r="O202" s="1">
        <f>VLOOKUP($K202,Paramètres!$A$27:$D$30,4,FALSE)</f>
        <v>0.32</v>
      </c>
      <c r="P202">
        <f>_xlfn.IFNA(VLOOKUP($K202,Paramètres!$A$38:$C$41,2,FALSE),"")</f>
        <v>4</v>
      </c>
      <c r="Q202">
        <f>_xlfn.IFNA(VLOOKUP($K202,Paramètres!$A$38:$C$41,3,FALSE),"")</f>
        <v>5</v>
      </c>
      <c r="R202">
        <v>192</v>
      </c>
      <c r="S202" t="b">
        <v>1</v>
      </c>
      <c r="T202">
        <v>5</v>
      </c>
      <c r="Y202" s="17"/>
      <c r="Z202" s="17"/>
      <c r="AA202" s="17"/>
      <c r="AB202" s="17"/>
    </row>
    <row r="203" spans="1:28" x14ac:dyDescent="0.3">
      <c r="A203" s="10" t="s">
        <v>439</v>
      </c>
      <c r="B203" s="10" t="s">
        <v>440</v>
      </c>
      <c r="C203" s="10" t="s">
        <v>52</v>
      </c>
      <c r="D203" s="15">
        <v>6710</v>
      </c>
      <c r="E203" s="17">
        <v>49.077297999999999</v>
      </c>
      <c r="F203" s="17">
        <v>202.732414713846</v>
      </c>
      <c r="G203" s="17">
        <v>121.92107878387046</v>
      </c>
      <c r="H203" s="17">
        <v>19.288019948597228</v>
      </c>
      <c r="I203" s="17">
        <v>61.523315981378317</v>
      </c>
      <c r="J203" s="17">
        <v>0</v>
      </c>
      <c r="K203" s="12" t="s">
        <v>682</v>
      </c>
      <c r="L203" s="1">
        <f>VLOOKUP(K203,Paramètres!$A$18:$B$21,2,FALSE)</f>
        <v>0.21</v>
      </c>
      <c r="M203" s="1">
        <f>VLOOKUP($K203,Paramètres!$A$27:$D$30,2,FALSE)</f>
        <v>0.33</v>
      </c>
      <c r="N203" s="1">
        <f>VLOOKUP($K203,Paramètres!$A$27:$D$30,3,FALSE)</f>
        <v>0.35</v>
      </c>
      <c r="O203" s="1">
        <f>VLOOKUP($K203,Paramètres!$A$27:$D$30,4,FALSE)</f>
        <v>0.32</v>
      </c>
      <c r="P203">
        <f>_xlfn.IFNA(VLOOKUP($K203,Paramètres!$A$38:$C$41,2,FALSE),"")</f>
        <v>4</v>
      </c>
      <c r="Q203">
        <f>_xlfn.IFNA(VLOOKUP($K203,Paramètres!$A$38:$C$41,3,FALSE),"")</f>
        <v>5</v>
      </c>
      <c r="R203">
        <v>107</v>
      </c>
      <c r="S203" t="b">
        <v>1</v>
      </c>
      <c r="T203">
        <v>3</v>
      </c>
      <c r="Y203" s="17"/>
      <c r="Z203" s="17"/>
      <c r="AA203" s="17"/>
      <c r="AB203" s="17"/>
    </row>
    <row r="204" spans="1:28" x14ac:dyDescent="0.3">
      <c r="A204" s="10" t="s">
        <v>441</v>
      </c>
      <c r="B204" s="10" t="s">
        <v>442</v>
      </c>
      <c r="C204" s="10" t="s">
        <v>52</v>
      </c>
      <c r="D204" s="15">
        <v>11185</v>
      </c>
      <c r="E204" s="17">
        <v>39.261265000000002</v>
      </c>
      <c r="F204" s="17">
        <v>194.3764869381007</v>
      </c>
      <c r="G204" s="17">
        <v>50.236368485498453</v>
      </c>
      <c r="H204" s="17">
        <v>76.674770589510729</v>
      </c>
      <c r="I204" s="17">
        <v>34.287158275433576</v>
      </c>
      <c r="J204" s="17">
        <v>33.178189587657954</v>
      </c>
      <c r="K204" s="12" t="s">
        <v>682</v>
      </c>
      <c r="L204" s="1">
        <f>VLOOKUP(K204,Paramètres!$A$18:$B$21,2,FALSE)</f>
        <v>0.21</v>
      </c>
      <c r="M204" s="1">
        <f>VLOOKUP($K204,Paramètres!$A$27:$D$30,2,FALSE)</f>
        <v>0.33</v>
      </c>
      <c r="N204" s="1">
        <f>VLOOKUP($K204,Paramètres!$A$27:$D$30,3,FALSE)</f>
        <v>0.35</v>
      </c>
      <c r="O204" s="1">
        <f>VLOOKUP($K204,Paramètres!$A$27:$D$30,4,FALSE)</f>
        <v>0.32</v>
      </c>
      <c r="P204">
        <f>_xlfn.IFNA(VLOOKUP($K204,Paramètres!$A$38:$C$41,2,FALSE),"")</f>
        <v>4</v>
      </c>
      <c r="Q204">
        <f>_xlfn.IFNA(VLOOKUP($K204,Paramètres!$A$38:$C$41,3,FALSE),"")</f>
        <v>5</v>
      </c>
      <c r="R204">
        <v>183</v>
      </c>
      <c r="S204" t="b">
        <v>1</v>
      </c>
      <c r="T204">
        <v>5</v>
      </c>
      <c r="Y204" s="17"/>
      <c r="Z204" s="17"/>
      <c r="AA204" s="17"/>
      <c r="AB204" s="17"/>
    </row>
    <row r="205" spans="1:28" x14ac:dyDescent="0.3">
      <c r="A205" s="10" t="s">
        <v>443</v>
      </c>
      <c r="B205" s="10" t="s">
        <v>444</v>
      </c>
      <c r="C205" s="10" t="s">
        <v>52</v>
      </c>
      <c r="D205" s="15">
        <v>6023</v>
      </c>
      <c r="E205" s="17">
        <v>22.826153999999999</v>
      </c>
      <c r="F205" s="17">
        <v>91.604009230078134</v>
      </c>
      <c r="G205" s="17">
        <v>51.149586386176999</v>
      </c>
      <c r="H205" s="17">
        <v>2.1222820401415774</v>
      </c>
      <c r="I205" s="17">
        <v>20.718896247059348</v>
      </c>
      <c r="J205" s="17">
        <v>17.613244556700202</v>
      </c>
      <c r="K205" s="12" t="s">
        <v>682</v>
      </c>
      <c r="L205" s="1">
        <f>VLOOKUP(K205,Paramètres!$A$18:$B$21,2,FALSE)</f>
        <v>0.21</v>
      </c>
      <c r="M205" s="1">
        <f>VLOOKUP($K205,Paramètres!$A$27:$D$30,2,FALSE)</f>
        <v>0.33</v>
      </c>
      <c r="N205" s="1">
        <f>VLOOKUP($K205,Paramètres!$A$27:$D$30,3,FALSE)</f>
        <v>0.35</v>
      </c>
      <c r="O205" s="1">
        <f>VLOOKUP($K205,Paramètres!$A$27:$D$30,4,FALSE)</f>
        <v>0.32</v>
      </c>
      <c r="P205">
        <f>_xlfn.IFNA(VLOOKUP($K205,Paramètres!$A$38:$C$41,2,FALSE),"")</f>
        <v>4</v>
      </c>
      <c r="Q205">
        <f>_xlfn.IFNA(VLOOKUP($K205,Paramètres!$A$38:$C$41,3,FALSE),"")</f>
        <v>5</v>
      </c>
      <c r="R205">
        <v>87</v>
      </c>
      <c r="S205" t="b">
        <v>0</v>
      </c>
      <c r="T205">
        <v>2</v>
      </c>
      <c r="Y205" s="17"/>
      <c r="Z205" s="17"/>
      <c r="AA205" s="17"/>
      <c r="AB205" s="17"/>
    </row>
    <row r="206" spans="1:28" x14ac:dyDescent="0.3">
      <c r="A206" s="10" t="s">
        <v>445</v>
      </c>
      <c r="B206" s="10" t="s">
        <v>446</v>
      </c>
      <c r="C206" s="10" t="s">
        <v>52</v>
      </c>
      <c r="D206" s="15">
        <v>2717</v>
      </c>
      <c r="E206" s="17">
        <v>69.231874000000005</v>
      </c>
      <c r="F206" s="17">
        <v>318.0546688822742</v>
      </c>
      <c r="G206" s="17">
        <v>267.84951310766525</v>
      </c>
      <c r="H206" s="17">
        <v>23.825403193697394</v>
      </c>
      <c r="I206" s="17">
        <v>26.379752580911596</v>
      </c>
      <c r="J206" s="17">
        <v>0</v>
      </c>
      <c r="K206" s="12" t="s">
        <v>682</v>
      </c>
      <c r="L206" s="1">
        <f>VLOOKUP(K206,Paramètres!$A$18:$B$21,2,FALSE)</f>
        <v>0.21</v>
      </c>
      <c r="M206" s="1">
        <f>VLOOKUP($K206,Paramètres!$A$27:$D$30,2,FALSE)</f>
        <v>0.33</v>
      </c>
      <c r="N206" s="1">
        <f>VLOOKUP($K206,Paramètres!$A$27:$D$30,3,FALSE)</f>
        <v>0.35</v>
      </c>
      <c r="O206" s="1">
        <f>VLOOKUP($K206,Paramètres!$A$27:$D$30,4,FALSE)</f>
        <v>0.32</v>
      </c>
      <c r="P206">
        <f>_xlfn.IFNA(VLOOKUP($K206,Paramètres!$A$38:$C$41,2,FALSE),"")</f>
        <v>4</v>
      </c>
      <c r="Q206">
        <f>_xlfn.IFNA(VLOOKUP($K206,Paramètres!$A$38:$C$41,3,FALSE),"")</f>
        <v>5</v>
      </c>
      <c r="R206">
        <v>128</v>
      </c>
      <c r="S206" t="b">
        <v>0</v>
      </c>
      <c r="T206">
        <v>3</v>
      </c>
      <c r="Y206" s="17"/>
      <c r="Z206" s="17"/>
      <c r="AA206" s="17"/>
      <c r="AB206" s="17"/>
    </row>
    <row r="207" spans="1:28" x14ac:dyDescent="0.3">
      <c r="A207" s="10" t="s">
        <v>447</v>
      </c>
      <c r="B207" s="10" t="s">
        <v>448</v>
      </c>
      <c r="C207" s="10" t="s">
        <v>52</v>
      </c>
      <c r="D207" s="15">
        <v>23052</v>
      </c>
      <c r="E207" s="17">
        <v>17.560117999999999</v>
      </c>
      <c r="F207" s="17">
        <v>175.38915693922058</v>
      </c>
      <c r="G207" s="17">
        <v>17.477282437682241</v>
      </c>
      <c r="H207" s="17">
        <v>5.7285877655520023</v>
      </c>
      <c r="I207" s="17">
        <v>102.84624921696792</v>
      </c>
      <c r="J207" s="17">
        <v>49.337037519018423</v>
      </c>
      <c r="K207" s="12" t="s">
        <v>681</v>
      </c>
      <c r="L207" s="1">
        <f>VLOOKUP(K207,Paramètres!$A$18:$B$21,2,FALSE)</f>
        <v>0.34</v>
      </c>
      <c r="M207" s="1">
        <f>VLOOKUP($K207,Paramètres!$A$27:$D$30,2,FALSE)</f>
        <v>0.26</v>
      </c>
      <c r="N207" s="1">
        <f>VLOOKUP($K207,Paramètres!$A$27:$D$30,3,FALSE)</f>
        <v>0.33</v>
      </c>
      <c r="O207" s="1">
        <f>VLOOKUP($K207,Paramètres!$A$27:$D$30,4,FALSE)</f>
        <v>0.41</v>
      </c>
      <c r="P207">
        <f>_xlfn.IFNA(VLOOKUP($K207,Paramètres!$A$38:$C$41,2,FALSE),"")</f>
        <v>3</v>
      </c>
      <c r="Q207">
        <f>_xlfn.IFNA(VLOOKUP($K207,Paramètres!$A$38:$C$41,3,FALSE),"")</f>
        <v>5</v>
      </c>
      <c r="R207">
        <v>219</v>
      </c>
      <c r="S207" t="b">
        <v>0</v>
      </c>
      <c r="T207">
        <v>6</v>
      </c>
      <c r="Y207" s="17"/>
      <c r="Z207" s="17"/>
      <c r="AA207" s="17"/>
      <c r="AB207" s="17"/>
    </row>
    <row r="208" spans="1:28" x14ac:dyDescent="0.3">
      <c r="A208" s="10" t="s">
        <v>449</v>
      </c>
      <c r="B208" s="10" t="s">
        <v>450</v>
      </c>
      <c r="C208" s="10" t="s">
        <v>52</v>
      </c>
      <c r="D208" s="15">
        <v>12772</v>
      </c>
      <c r="E208" s="17">
        <v>166.342298</v>
      </c>
      <c r="F208" s="17">
        <v>671.42450915879624</v>
      </c>
      <c r="G208" s="17">
        <v>536.02552535182542</v>
      </c>
      <c r="H208" s="17">
        <v>36.89708836030605</v>
      </c>
      <c r="I208" s="17">
        <v>60.233411594202011</v>
      </c>
      <c r="J208" s="17">
        <v>38.26848385246268</v>
      </c>
      <c r="K208" s="12" t="s">
        <v>682</v>
      </c>
      <c r="L208" s="1">
        <f>VLOOKUP(K208,Paramètres!$A$18:$B$21,2,FALSE)</f>
        <v>0.21</v>
      </c>
      <c r="M208" s="1">
        <f>VLOOKUP($K208,Paramètres!$A$27:$D$30,2,FALSE)</f>
        <v>0.33</v>
      </c>
      <c r="N208" s="1">
        <f>VLOOKUP($K208,Paramètres!$A$27:$D$30,3,FALSE)</f>
        <v>0.35</v>
      </c>
      <c r="O208" s="1">
        <f>VLOOKUP($K208,Paramètres!$A$27:$D$30,4,FALSE)</f>
        <v>0.32</v>
      </c>
      <c r="P208">
        <f>_xlfn.IFNA(VLOOKUP($K208,Paramètres!$A$38:$C$41,2,FALSE),"")</f>
        <v>4</v>
      </c>
      <c r="Q208">
        <f>_xlfn.IFNA(VLOOKUP($K208,Paramètres!$A$38:$C$41,3,FALSE),"")</f>
        <v>5</v>
      </c>
      <c r="R208">
        <v>181</v>
      </c>
      <c r="S208" t="b">
        <v>0</v>
      </c>
      <c r="T208">
        <v>5</v>
      </c>
      <c r="Y208" s="17"/>
      <c r="Z208" s="17"/>
      <c r="AA208" s="17"/>
      <c r="AB208" s="17"/>
    </row>
    <row r="209" spans="1:28" x14ac:dyDescent="0.3">
      <c r="A209" s="10" t="s">
        <v>451</v>
      </c>
      <c r="B209" s="10" t="s">
        <v>452</v>
      </c>
      <c r="C209" s="10" t="s">
        <v>52</v>
      </c>
      <c r="D209" s="15">
        <v>2111</v>
      </c>
      <c r="E209" s="17">
        <v>28.096761999999998</v>
      </c>
      <c r="F209" s="17">
        <v>120.18786786938981</v>
      </c>
      <c r="G209" s="17">
        <v>100.11666652331587</v>
      </c>
      <c r="H209" s="17">
        <v>0</v>
      </c>
      <c r="I209" s="17">
        <v>13.136594716551345</v>
      </c>
      <c r="J209" s="17">
        <v>6.9346066295225937</v>
      </c>
      <c r="K209" s="12" t="s">
        <v>682</v>
      </c>
      <c r="L209" s="1">
        <f>VLOOKUP(K209,Paramètres!$A$18:$B$21,2,FALSE)</f>
        <v>0.21</v>
      </c>
      <c r="M209" s="1">
        <f>VLOOKUP($K209,Paramètres!$A$27:$D$30,2,FALSE)</f>
        <v>0.33</v>
      </c>
      <c r="N209" s="1">
        <f>VLOOKUP($K209,Paramètres!$A$27:$D$30,3,FALSE)</f>
        <v>0.35</v>
      </c>
      <c r="O209" s="1">
        <f>VLOOKUP($K209,Paramètres!$A$27:$D$30,4,FALSE)</f>
        <v>0.32</v>
      </c>
      <c r="P209">
        <f>_xlfn.IFNA(VLOOKUP($K209,Paramètres!$A$38:$C$41,2,FALSE),"")</f>
        <v>4</v>
      </c>
      <c r="Q209">
        <f>_xlfn.IFNA(VLOOKUP($K209,Paramètres!$A$38:$C$41,3,FALSE),"")</f>
        <v>5</v>
      </c>
      <c r="R209">
        <v>65</v>
      </c>
      <c r="S209" t="b">
        <v>0</v>
      </c>
      <c r="T209">
        <v>2</v>
      </c>
      <c r="Y209" s="17"/>
      <c r="Z209" s="17"/>
      <c r="AA209" s="17"/>
      <c r="AB209" s="17"/>
    </row>
    <row r="210" spans="1:28" x14ac:dyDescent="0.3">
      <c r="A210" s="10" t="s">
        <v>453</v>
      </c>
      <c r="B210" s="10" t="s">
        <v>454</v>
      </c>
      <c r="C210" s="10" t="s">
        <v>52</v>
      </c>
      <c r="D210" s="15">
        <v>5345</v>
      </c>
      <c r="E210" s="17">
        <v>24.013767000000001</v>
      </c>
      <c r="F210" s="17">
        <v>88.595077811314027</v>
      </c>
      <c r="G210" s="17">
        <v>30.726174370929719</v>
      </c>
      <c r="H210" s="17">
        <v>34.753050758231929</v>
      </c>
      <c r="I210" s="17">
        <v>19.989696010237417</v>
      </c>
      <c r="J210" s="17">
        <v>3.1261566719149534</v>
      </c>
      <c r="K210" s="12" t="s">
        <v>682</v>
      </c>
      <c r="L210" s="1">
        <f>VLOOKUP(K210,Paramètres!$A$18:$B$21,2,FALSE)</f>
        <v>0.21</v>
      </c>
      <c r="M210" s="1">
        <f>VLOOKUP($K210,Paramètres!$A$27:$D$30,2,FALSE)</f>
        <v>0.33</v>
      </c>
      <c r="N210" s="1">
        <f>VLOOKUP($K210,Paramètres!$A$27:$D$30,3,FALSE)</f>
        <v>0.35</v>
      </c>
      <c r="O210" s="1">
        <f>VLOOKUP($K210,Paramètres!$A$27:$D$30,4,FALSE)</f>
        <v>0.32</v>
      </c>
      <c r="P210">
        <f>_xlfn.IFNA(VLOOKUP($K210,Paramètres!$A$38:$C$41,2,FALSE),"")</f>
        <v>4</v>
      </c>
      <c r="Q210">
        <f>_xlfn.IFNA(VLOOKUP($K210,Paramètres!$A$38:$C$41,3,FALSE),"")</f>
        <v>5</v>
      </c>
      <c r="R210">
        <v>80</v>
      </c>
      <c r="S210" t="b">
        <v>0</v>
      </c>
      <c r="T210">
        <v>2</v>
      </c>
      <c r="Y210" s="17"/>
      <c r="Z210" s="17"/>
      <c r="AA210" s="17"/>
      <c r="AB210" s="17"/>
    </row>
    <row r="211" spans="1:28" x14ac:dyDescent="0.3">
      <c r="A211" s="10" t="s">
        <v>455</v>
      </c>
      <c r="B211" s="10" t="s">
        <v>456</v>
      </c>
      <c r="C211" s="10" t="s">
        <v>52</v>
      </c>
      <c r="D211" s="15">
        <v>2687</v>
      </c>
      <c r="E211" s="17">
        <v>97.943085999999994</v>
      </c>
      <c r="F211" s="17">
        <v>419.92812986400673</v>
      </c>
      <c r="G211" s="17">
        <v>390.47829082196569</v>
      </c>
      <c r="H211" s="17">
        <v>9.0922925034436979</v>
      </c>
      <c r="I211" s="17">
        <v>20.357546538597351</v>
      </c>
      <c r="J211" s="17">
        <v>0</v>
      </c>
      <c r="K211" s="12" t="s">
        <v>682</v>
      </c>
      <c r="L211" s="1">
        <f>VLOOKUP(K211,Paramètres!$A$18:$B$21,2,FALSE)</f>
        <v>0.21</v>
      </c>
      <c r="M211" s="1">
        <f>VLOOKUP($K211,Paramètres!$A$27:$D$30,2,FALSE)</f>
        <v>0.33</v>
      </c>
      <c r="N211" s="1">
        <f>VLOOKUP($K211,Paramètres!$A$27:$D$30,3,FALSE)</f>
        <v>0.35</v>
      </c>
      <c r="O211" s="1">
        <f>VLOOKUP($K211,Paramètres!$A$27:$D$30,4,FALSE)</f>
        <v>0.32</v>
      </c>
      <c r="P211">
        <f>_xlfn.IFNA(VLOOKUP($K211,Paramètres!$A$38:$C$41,2,FALSE),"")</f>
        <v>4</v>
      </c>
      <c r="Q211">
        <f>_xlfn.IFNA(VLOOKUP($K211,Paramètres!$A$38:$C$41,3,FALSE),"")</f>
        <v>5</v>
      </c>
      <c r="R211">
        <v>114</v>
      </c>
      <c r="S211" t="b">
        <v>0</v>
      </c>
      <c r="T211">
        <v>3</v>
      </c>
      <c r="Y211" s="17"/>
      <c r="Z211" s="17"/>
      <c r="AA211" s="17"/>
      <c r="AB211" s="17"/>
    </row>
    <row r="212" spans="1:28" x14ac:dyDescent="0.3">
      <c r="A212" s="10" t="s">
        <v>457</v>
      </c>
      <c r="B212" s="10" t="s">
        <v>458</v>
      </c>
      <c r="C212" s="10" t="s">
        <v>52</v>
      </c>
      <c r="D212" s="15">
        <v>7184</v>
      </c>
      <c r="E212" s="17">
        <v>20.927603999999999</v>
      </c>
      <c r="F212" s="17">
        <v>133.01810162203105</v>
      </c>
      <c r="G212" s="17">
        <v>20.509899633230496</v>
      </c>
      <c r="H212" s="17">
        <v>74.828692281511067</v>
      </c>
      <c r="I212" s="17">
        <v>16.847765606286824</v>
      </c>
      <c r="J212" s="17">
        <v>20.83174410100268</v>
      </c>
      <c r="K212" s="12" t="s">
        <v>682</v>
      </c>
      <c r="L212" s="1">
        <f>VLOOKUP(K212,Paramètres!$A$18:$B$21,2,FALSE)</f>
        <v>0.21</v>
      </c>
      <c r="M212" s="1">
        <f>VLOOKUP($K212,Paramètres!$A$27:$D$30,2,FALSE)</f>
        <v>0.33</v>
      </c>
      <c r="N212" s="1">
        <f>VLOOKUP($K212,Paramètres!$A$27:$D$30,3,FALSE)</f>
        <v>0.35</v>
      </c>
      <c r="O212" s="1">
        <f>VLOOKUP($K212,Paramètres!$A$27:$D$30,4,FALSE)</f>
        <v>0.32</v>
      </c>
      <c r="P212">
        <f>_xlfn.IFNA(VLOOKUP($K212,Paramètres!$A$38:$C$41,2,FALSE),"")</f>
        <v>4</v>
      </c>
      <c r="Q212">
        <f>_xlfn.IFNA(VLOOKUP($K212,Paramètres!$A$38:$C$41,3,FALSE),"")</f>
        <v>5</v>
      </c>
      <c r="R212">
        <v>79</v>
      </c>
      <c r="S212" t="b">
        <v>1</v>
      </c>
      <c r="T212">
        <v>2</v>
      </c>
      <c r="Y212" s="17"/>
      <c r="Z212" s="17"/>
      <c r="AA212" s="17"/>
      <c r="AB212" s="17"/>
    </row>
    <row r="213" spans="1:28" x14ac:dyDescent="0.3">
      <c r="A213" s="10" t="s">
        <v>459</v>
      </c>
      <c r="B213" s="10" t="s">
        <v>460</v>
      </c>
      <c r="C213" s="10" t="s">
        <v>52</v>
      </c>
      <c r="D213" s="15">
        <v>23756</v>
      </c>
      <c r="E213" s="17">
        <v>70.585182000000003</v>
      </c>
      <c r="F213" s="17">
        <v>417.6489266546638</v>
      </c>
      <c r="G213" s="17">
        <v>170.79949150365798</v>
      </c>
      <c r="H213" s="17">
        <v>118.60547106844466</v>
      </c>
      <c r="I213" s="17">
        <v>96.036210220355187</v>
      </c>
      <c r="J213" s="17">
        <v>32.207753862205934</v>
      </c>
      <c r="K213" s="12" t="s">
        <v>681</v>
      </c>
      <c r="L213" s="1">
        <f>VLOOKUP(K213,Paramètres!$A$18:$B$21,2,FALSE)</f>
        <v>0.34</v>
      </c>
      <c r="M213" s="1">
        <f>VLOOKUP($K213,Paramètres!$A$27:$D$30,2,FALSE)</f>
        <v>0.26</v>
      </c>
      <c r="N213" s="1">
        <f>VLOOKUP($K213,Paramètres!$A$27:$D$30,3,FALSE)</f>
        <v>0.33</v>
      </c>
      <c r="O213" s="1">
        <f>VLOOKUP($K213,Paramètres!$A$27:$D$30,4,FALSE)</f>
        <v>0.41</v>
      </c>
      <c r="P213">
        <f>_xlfn.IFNA(VLOOKUP($K213,Paramètres!$A$38:$C$41,2,FALSE),"")</f>
        <v>3</v>
      </c>
      <c r="Q213">
        <f>_xlfn.IFNA(VLOOKUP($K213,Paramètres!$A$38:$C$41,3,FALSE),"")</f>
        <v>5</v>
      </c>
      <c r="R213">
        <v>258</v>
      </c>
      <c r="S213" t="b">
        <v>0</v>
      </c>
      <c r="T213">
        <v>7</v>
      </c>
      <c r="Y213" s="17"/>
      <c r="Z213" s="17"/>
      <c r="AA213" s="17"/>
      <c r="AB213" s="17"/>
    </row>
    <row r="214" spans="1:28" x14ac:dyDescent="0.3">
      <c r="A214" s="10" t="s">
        <v>461</v>
      </c>
      <c r="B214" s="10" t="s">
        <v>462</v>
      </c>
      <c r="C214" s="10" t="s">
        <v>52</v>
      </c>
      <c r="D214" s="15">
        <v>5691</v>
      </c>
      <c r="E214" s="17">
        <v>111.987915</v>
      </c>
      <c r="F214" s="17">
        <v>506.29351743248702</v>
      </c>
      <c r="G214" s="17">
        <v>450.36939104480894</v>
      </c>
      <c r="H214" s="17">
        <v>26.642033544108003</v>
      </c>
      <c r="I214" s="17">
        <v>23.353734782036472</v>
      </c>
      <c r="J214" s="17">
        <v>5.9283580615335651</v>
      </c>
      <c r="K214" s="12" t="s">
        <v>681</v>
      </c>
      <c r="L214" s="1">
        <f>VLOOKUP(K214,Paramètres!$A$18:$B$21,2,FALSE)</f>
        <v>0.34</v>
      </c>
      <c r="M214" s="1">
        <f>VLOOKUP($K214,Paramètres!$A$27:$D$30,2,FALSE)</f>
        <v>0.26</v>
      </c>
      <c r="N214" s="1">
        <f>VLOOKUP($K214,Paramètres!$A$27:$D$30,3,FALSE)</f>
        <v>0.33</v>
      </c>
      <c r="O214" s="1">
        <f>VLOOKUP($K214,Paramètres!$A$27:$D$30,4,FALSE)</f>
        <v>0.41</v>
      </c>
      <c r="P214">
        <f>_xlfn.IFNA(VLOOKUP($K214,Paramètres!$A$38:$C$41,2,FALSE),"")</f>
        <v>3</v>
      </c>
      <c r="Q214">
        <f>_xlfn.IFNA(VLOOKUP($K214,Paramètres!$A$38:$C$41,3,FALSE),"")</f>
        <v>5</v>
      </c>
      <c r="R214">
        <v>133</v>
      </c>
      <c r="S214" t="b">
        <v>0</v>
      </c>
      <c r="T214">
        <v>4</v>
      </c>
      <c r="Y214" s="17"/>
      <c r="Z214" s="17"/>
      <c r="AA214" s="17"/>
      <c r="AB214" s="17"/>
    </row>
    <row r="215" spans="1:28" x14ac:dyDescent="0.3">
      <c r="A215" s="10" t="s">
        <v>463</v>
      </c>
      <c r="B215" s="10" t="s">
        <v>464</v>
      </c>
      <c r="C215" s="10" t="s">
        <v>52</v>
      </c>
      <c r="D215" s="15">
        <v>3809</v>
      </c>
      <c r="E215" s="17">
        <v>36.250602000000001</v>
      </c>
      <c r="F215" s="17">
        <v>195.44763983059084</v>
      </c>
      <c r="G215" s="17">
        <v>170.37131264460746</v>
      </c>
      <c r="H215" s="17">
        <v>2.1283922271725046</v>
      </c>
      <c r="I215" s="17">
        <v>0</v>
      </c>
      <c r="J215" s="17">
        <v>22.947934958810862</v>
      </c>
      <c r="K215" s="12" t="s">
        <v>682</v>
      </c>
      <c r="L215" s="1">
        <f>VLOOKUP(K215,Paramètres!$A$18:$B$21,2,FALSE)</f>
        <v>0.21</v>
      </c>
      <c r="M215" s="1">
        <f>VLOOKUP($K215,Paramètres!$A$27:$D$30,2,FALSE)</f>
        <v>0.33</v>
      </c>
      <c r="N215" s="1">
        <f>VLOOKUP($K215,Paramètres!$A$27:$D$30,3,FALSE)</f>
        <v>0.35</v>
      </c>
      <c r="O215" s="1">
        <f>VLOOKUP($K215,Paramètres!$A$27:$D$30,4,FALSE)</f>
        <v>0.32</v>
      </c>
      <c r="P215">
        <f>_xlfn.IFNA(VLOOKUP($K215,Paramètres!$A$38:$C$41,2,FALSE),"")</f>
        <v>4</v>
      </c>
      <c r="Q215">
        <f>_xlfn.IFNA(VLOOKUP($K215,Paramètres!$A$38:$C$41,3,FALSE),"")</f>
        <v>5</v>
      </c>
      <c r="R215">
        <v>63</v>
      </c>
      <c r="S215" t="b">
        <v>0</v>
      </c>
      <c r="T215">
        <v>2</v>
      </c>
      <c r="Y215" s="17"/>
      <c r="Z215" s="17"/>
      <c r="AA215" s="17"/>
      <c r="AB215" s="17"/>
    </row>
    <row r="216" spans="1:28" x14ac:dyDescent="0.3">
      <c r="A216" s="10" t="s">
        <v>465</v>
      </c>
      <c r="B216" s="10" t="s">
        <v>466</v>
      </c>
      <c r="C216" s="10" t="s">
        <v>52</v>
      </c>
      <c r="D216" s="15">
        <v>24517</v>
      </c>
      <c r="E216" s="17">
        <v>6.9057849999999998</v>
      </c>
      <c r="F216" s="17">
        <v>81.685251631220737</v>
      </c>
      <c r="G216" s="17">
        <v>0</v>
      </c>
      <c r="H216" s="17">
        <v>3.4021652855618094</v>
      </c>
      <c r="I216" s="17">
        <v>6.5801767870408208</v>
      </c>
      <c r="J216" s="17">
        <v>71.702909558618103</v>
      </c>
      <c r="K216" s="12" t="s">
        <v>681</v>
      </c>
      <c r="L216" s="1">
        <f>VLOOKUP(K216,Paramètres!$A$18:$B$21,2,FALSE)</f>
        <v>0.34</v>
      </c>
      <c r="M216" s="1">
        <f>VLOOKUP($K216,Paramètres!$A$27:$D$30,2,FALSE)</f>
        <v>0.26</v>
      </c>
      <c r="N216" s="1">
        <f>VLOOKUP($K216,Paramètres!$A$27:$D$30,3,FALSE)</f>
        <v>0.33</v>
      </c>
      <c r="O216" s="1">
        <f>VLOOKUP($K216,Paramètres!$A$27:$D$30,4,FALSE)</f>
        <v>0.41</v>
      </c>
      <c r="P216">
        <f>_xlfn.IFNA(VLOOKUP($K216,Paramètres!$A$38:$C$41,2,FALSE),"")</f>
        <v>3</v>
      </c>
      <c r="Q216">
        <f>_xlfn.IFNA(VLOOKUP($K216,Paramètres!$A$38:$C$41,3,FALSE),"")</f>
        <v>5</v>
      </c>
      <c r="R216">
        <v>62</v>
      </c>
      <c r="S216" t="b">
        <v>1</v>
      </c>
      <c r="T216">
        <v>2</v>
      </c>
      <c r="Y216" s="17"/>
      <c r="Z216" s="17"/>
      <c r="AA216" s="17"/>
      <c r="AB216" s="17"/>
    </row>
    <row r="217" spans="1:28" x14ac:dyDescent="0.3">
      <c r="A217" s="10" t="s">
        <v>467</v>
      </c>
      <c r="B217" s="10" t="s">
        <v>468</v>
      </c>
      <c r="C217" s="10" t="s">
        <v>52</v>
      </c>
      <c r="D217" s="15">
        <v>28638</v>
      </c>
      <c r="E217" s="17">
        <v>34.270986999999998</v>
      </c>
      <c r="F217" s="17">
        <v>249.21940016545929</v>
      </c>
      <c r="G217" s="17">
        <v>39.661056323800189</v>
      </c>
      <c r="H217" s="17">
        <v>71.796973725851956</v>
      </c>
      <c r="I217" s="17">
        <v>53.603347484070923</v>
      </c>
      <c r="J217" s="17">
        <v>84.158022631736245</v>
      </c>
      <c r="K217" s="12" t="s">
        <v>681</v>
      </c>
      <c r="L217" s="1">
        <f>VLOOKUP(K217,Paramètres!$A$18:$B$21,2,FALSE)</f>
        <v>0.34</v>
      </c>
      <c r="M217" s="1">
        <f>VLOOKUP($K217,Paramètres!$A$27:$D$30,2,FALSE)</f>
        <v>0.26</v>
      </c>
      <c r="N217" s="1">
        <f>VLOOKUP($K217,Paramètres!$A$27:$D$30,3,FALSE)</f>
        <v>0.33</v>
      </c>
      <c r="O217" s="1">
        <f>VLOOKUP($K217,Paramètres!$A$27:$D$30,4,FALSE)</f>
        <v>0.41</v>
      </c>
      <c r="P217">
        <f>_xlfn.IFNA(VLOOKUP($K217,Paramètres!$A$38:$C$41,2,FALSE),"")</f>
        <v>3</v>
      </c>
      <c r="Q217">
        <f>_xlfn.IFNA(VLOOKUP($K217,Paramètres!$A$38:$C$41,3,FALSE),"")</f>
        <v>5</v>
      </c>
      <c r="R217">
        <v>243</v>
      </c>
      <c r="S217" t="b">
        <v>1</v>
      </c>
      <c r="T217">
        <v>7</v>
      </c>
      <c r="Y217" s="17"/>
      <c r="Z217" s="17"/>
      <c r="AA217" s="17"/>
      <c r="AB217" s="17"/>
    </row>
    <row r="218" spans="1:28" x14ac:dyDescent="0.3">
      <c r="A218" s="10" t="s">
        <v>469</v>
      </c>
      <c r="B218" s="10" t="s">
        <v>470</v>
      </c>
      <c r="C218" s="10" t="s">
        <v>52</v>
      </c>
      <c r="D218" s="15">
        <v>10180</v>
      </c>
      <c r="E218" s="17">
        <v>147.148977</v>
      </c>
      <c r="F218" s="17">
        <v>775.6797757191714</v>
      </c>
      <c r="G218" s="17">
        <v>636.57854159192868</v>
      </c>
      <c r="H218" s="17">
        <v>44.536242034273137</v>
      </c>
      <c r="I218" s="17">
        <v>77.564746132204192</v>
      </c>
      <c r="J218" s="17">
        <v>17.000245960765373</v>
      </c>
      <c r="K218" s="12" t="s">
        <v>682</v>
      </c>
      <c r="L218" s="1">
        <f>VLOOKUP(K218,Paramètres!$A$18:$B$21,2,FALSE)</f>
        <v>0.21</v>
      </c>
      <c r="M218" s="1">
        <f>VLOOKUP($K218,Paramètres!$A$27:$D$30,2,FALSE)</f>
        <v>0.33</v>
      </c>
      <c r="N218" s="1">
        <f>VLOOKUP($K218,Paramètres!$A$27:$D$30,3,FALSE)</f>
        <v>0.35</v>
      </c>
      <c r="O218" s="1">
        <f>VLOOKUP($K218,Paramètres!$A$27:$D$30,4,FALSE)</f>
        <v>0.32</v>
      </c>
      <c r="P218">
        <f>_xlfn.IFNA(VLOOKUP($K218,Paramètres!$A$38:$C$41,2,FALSE),"")</f>
        <v>4</v>
      </c>
      <c r="Q218">
        <f>_xlfn.IFNA(VLOOKUP($K218,Paramètres!$A$38:$C$41,3,FALSE),"")</f>
        <v>5</v>
      </c>
      <c r="R218">
        <v>153</v>
      </c>
      <c r="S218" t="b">
        <v>1</v>
      </c>
      <c r="T218">
        <v>4</v>
      </c>
      <c r="Y218" s="17"/>
      <c r="Z218" s="17"/>
      <c r="AA218" s="17"/>
      <c r="AB218" s="17"/>
    </row>
    <row r="219" spans="1:28" x14ac:dyDescent="0.3">
      <c r="A219" s="10" t="s">
        <v>471</v>
      </c>
      <c r="B219" s="10" t="s">
        <v>472</v>
      </c>
      <c r="C219" s="10" t="s">
        <v>52</v>
      </c>
      <c r="D219" s="15">
        <v>11631</v>
      </c>
      <c r="E219" s="17">
        <v>63.769571999999997</v>
      </c>
      <c r="F219" s="17">
        <v>338.77777952667623</v>
      </c>
      <c r="G219" s="17">
        <v>192.35100177463019</v>
      </c>
      <c r="H219" s="17">
        <v>83.732680132718514</v>
      </c>
      <c r="I219" s="17">
        <v>16.551505056600465</v>
      </c>
      <c r="J219" s="17">
        <v>46.142592562726996</v>
      </c>
      <c r="K219" s="12" t="s">
        <v>682</v>
      </c>
      <c r="L219" s="1">
        <f>VLOOKUP(K219,Paramètres!$A$18:$B$21,2,FALSE)</f>
        <v>0.21</v>
      </c>
      <c r="M219" s="1">
        <f>VLOOKUP($K219,Paramètres!$A$27:$D$30,2,FALSE)</f>
        <v>0.33</v>
      </c>
      <c r="N219" s="1">
        <f>VLOOKUP($K219,Paramètres!$A$27:$D$30,3,FALSE)</f>
        <v>0.35</v>
      </c>
      <c r="O219" s="1">
        <f>VLOOKUP($K219,Paramètres!$A$27:$D$30,4,FALSE)</f>
        <v>0.32</v>
      </c>
      <c r="P219">
        <f>_xlfn.IFNA(VLOOKUP($K219,Paramètres!$A$38:$C$41,2,FALSE),"")</f>
        <v>4</v>
      </c>
      <c r="Q219">
        <f>_xlfn.IFNA(VLOOKUP($K219,Paramètres!$A$38:$C$41,3,FALSE),"")</f>
        <v>5</v>
      </c>
      <c r="R219">
        <v>193</v>
      </c>
      <c r="S219" t="b">
        <v>0</v>
      </c>
      <c r="T219">
        <v>5</v>
      </c>
      <c r="Y219" s="17"/>
      <c r="Z219" s="17"/>
      <c r="AA219" s="17"/>
      <c r="AB219" s="17"/>
    </row>
    <row r="220" spans="1:28" x14ac:dyDescent="0.3">
      <c r="A220" s="10" t="s">
        <v>473</v>
      </c>
      <c r="B220" s="10" t="s">
        <v>474</v>
      </c>
      <c r="C220" s="10" t="s">
        <v>52</v>
      </c>
      <c r="D220" s="15">
        <v>64609</v>
      </c>
      <c r="E220" s="17">
        <v>35.245921000000003</v>
      </c>
      <c r="F220" s="17">
        <v>389.75162067291939</v>
      </c>
      <c r="G220" s="17">
        <v>112.43559309789948</v>
      </c>
      <c r="H220" s="17">
        <v>48.403193541674469</v>
      </c>
      <c r="I220" s="17">
        <v>55.605051249603243</v>
      </c>
      <c r="J220" s="17">
        <v>173.30778278374214</v>
      </c>
      <c r="K220" s="12" t="s">
        <v>683</v>
      </c>
      <c r="L220" s="1">
        <f>VLOOKUP(K220,Paramètres!$A$18:$B$21,2,FALSE)</f>
        <v>0.34</v>
      </c>
      <c r="M220" s="1">
        <f>VLOOKUP($K220,Paramètres!$A$27:$D$30,2,FALSE)</f>
        <v>0.37</v>
      </c>
      <c r="N220" s="1">
        <f>VLOOKUP($K220,Paramètres!$A$27:$D$30,3,FALSE)</f>
        <v>0.39</v>
      </c>
      <c r="O220" s="1">
        <f>VLOOKUP($K220,Paramètres!$A$27:$D$30,4,FALSE)</f>
        <v>0.24</v>
      </c>
      <c r="P220">
        <f>_xlfn.IFNA(VLOOKUP($K220,Paramètres!$A$38:$C$41,2,FALSE),"")</f>
        <v>2</v>
      </c>
      <c r="Q220">
        <f>_xlfn.IFNA(VLOOKUP($K220,Paramètres!$A$38:$C$41,3,FALSE),"")</f>
        <v>15</v>
      </c>
      <c r="R220">
        <v>534</v>
      </c>
      <c r="S220" t="b">
        <v>0</v>
      </c>
      <c r="T220">
        <v>14</v>
      </c>
      <c r="Y220" s="17"/>
      <c r="Z220" s="17"/>
      <c r="AA220" s="17"/>
      <c r="AB220" s="17"/>
    </row>
    <row r="221" spans="1:28" x14ac:dyDescent="0.3">
      <c r="A221" s="10" t="s">
        <v>475</v>
      </c>
      <c r="B221" s="10" t="s">
        <v>476</v>
      </c>
      <c r="C221" s="10" t="s">
        <v>52</v>
      </c>
      <c r="D221" s="15">
        <v>8422</v>
      </c>
      <c r="E221" s="17">
        <v>68.573676000000006</v>
      </c>
      <c r="F221" s="17">
        <v>258.5519025847488</v>
      </c>
      <c r="G221" s="17">
        <v>114.5398032994997</v>
      </c>
      <c r="H221" s="17">
        <v>110.73139631421121</v>
      </c>
      <c r="I221" s="17">
        <v>30.285541748892314</v>
      </c>
      <c r="J221" s="17">
        <v>2.9951612221455726</v>
      </c>
      <c r="K221" s="12" t="s">
        <v>682</v>
      </c>
      <c r="L221" s="1">
        <f>VLOOKUP(K221,Paramètres!$A$18:$B$21,2,FALSE)</f>
        <v>0.21</v>
      </c>
      <c r="M221" s="1">
        <f>VLOOKUP($K221,Paramètres!$A$27:$D$30,2,FALSE)</f>
        <v>0.33</v>
      </c>
      <c r="N221" s="1">
        <f>VLOOKUP($K221,Paramètres!$A$27:$D$30,3,FALSE)</f>
        <v>0.35</v>
      </c>
      <c r="O221" s="1">
        <f>VLOOKUP($K221,Paramètres!$A$27:$D$30,4,FALSE)</f>
        <v>0.32</v>
      </c>
      <c r="P221">
        <f>_xlfn.IFNA(VLOOKUP($K221,Paramètres!$A$38:$C$41,2,FALSE),"")</f>
        <v>4</v>
      </c>
      <c r="Q221">
        <f>_xlfn.IFNA(VLOOKUP($K221,Paramètres!$A$38:$C$41,3,FALSE),"")</f>
        <v>5</v>
      </c>
      <c r="R221">
        <v>115</v>
      </c>
      <c r="S221" t="b">
        <v>0</v>
      </c>
      <c r="T221">
        <v>3</v>
      </c>
      <c r="Y221" s="17"/>
      <c r="Z221" s="17"/>
      <c r="AA221" s="17"/>
      <c r="AB221" s="17"/>
    </row>
    <row r="222" spans="1:28" x14ac:dyDescent="0.3">
      <c r="A222" s="10" t="s">
        <v>477</v>
      </c>
      <c r="B222" s="10" t="s">
        <v>478</v>
      </c>
      <c r="C222" s="10" t="s">
        <v>52</v>
      </c>
      <c r="D222" s="15">
        <v>4862</v>
      </c>
      <c r="E222" s="17">
        <v>73.555452000000002</v>
      </c>
      <c r="F222" s="17">
        <v>221.17340192681479</v>
      </c>
      <c r="G222" s="17">
        <v>180.67486520561542</v>
      </c>
      <c r="H222" s="17">
        <v>11.262418803666877</v>
      </c>
      <c r="I222" s="17">
        <v>28.703628367446338</v>
      </c>
      <c r="J222" s="17">
        <v>0.53248955008613952</v>
      </c>
      <c r="K222" s="12" t="s">
        <v>682</v>
      </c>
      <c r="L222" s="1">
        <f>VLOOKUP(K222,Paramètres!$A$18:$B$21,2,FALSE)</f>
        <v>0.21</v>
      </c>
      <c r="M222" s="1">
        <f>VLOOKUP($K222,Paramètres!$A$27:$D$30,2,FALSE)</f>
        <v>0.33</v>
      </c>
      <c r="N222" s="1">
        <f>VLOOKUP($K222,Paramètres!$A$27:$D$30,3,FALSE)</f>
        <v>0.35</v>
      </c>
      <c r="O222" s="1">
        <f>VLOOKUP($K222,Paramètres!$A$27:$D$30,4,FALSE)</f>
        <v>0.32</v>
      </c>
      <c r="P222">
        <f>_xlfn.IFNA(VLOOKUP($K222,Paramètres!$A$38:$C$41,2,FALSE),"")</f>
        <v>4</v>
      </c>
      <c r="Q222">
        <f>_xlfn.IFNA(VLOOKUP($K222,Paramètres!$A$38:$C$41,3,FALSE),"")</f>
        <v>5</v>
      </c>
      <c r="R222">
        <v>94</v>
      </c>
      <c r="S222" t="b">
        <v>1</v>
      </c>
      <c r="T222">
        <v>3</v>
      </c>
      <c r="Y222" s="17"/>
      <c r="Z222" s="17"/>
      <c r="AA222" s="17"/>
      <c r="AB222" s="17"/>
    </row>
    <row r="223" spans="1:28" x14ac:dyDescent="0.3">
      <c r="A223" s="10" t="s">
        <v>1</v>
      </c>
      <c r="B223" s="10" t="s">
        <v>479</v>
      </c>
      <c r="C223" s="10" t="s">
        <v>52</v>
      </c>
      <c r="D223" s="15">
        <v>29249</v>
      </c>
      <c r="E223" s="17">
        <v>111.267743</v>
      </c>
      <c r="F223" s="17">
        <v>486.05723639819263</v>
      </c>
      <c r="G223" s="17">
        <v>268.49970471181609</v>
      </c>
      <c r="H223" s="17">
        <v>85.617445002702055</v>
      </c>
      <c r="I223" s="17">
        <v>70.900900113005861</v>
      </c>
      <c r="J223" s="17">
        <v>61.039186570668605</v>
      </c>
      <c r="K223" s="12" t="s">
        <v>681</v>
      </c>
      <c r="L223" s="1">
        <f>VLOOKUP(K223,Paramètres!$A$18:$B$21,2,FALSE)</f>
        <v>0.34</v>
      </c>
      <c r="M223" s="1">
        <f>VLOOKUP($K223,Paramètres!$A$27:$D$30,2,FALSE)</f>
        <v>0.26</v>
      </c>
      <c r="N223" s="1">
        <f>VLOOKUP($K223,Paramètres!$A$27:$D$30,3,FALSE)</f>
        <v>0.33</v>
      </c>
      <c r="O223" s="1">
        <f>VLOOKUP($K223,Paramètres!$A$27:$D$30,4,FALSE)</f>
        <v>0.41</v>
      </c>
      <c r="P223">
        <f>_xlfn.IFNA(VLOOKUP($K223,Paramètres!$A$38:$C$41,2,FALSE),"")</f>
        <v>3</v>
      </c>
      <c r="Q223">
        <f>_xlfn.IFNA(VLOOKUP($K223,Paramètres!$A$38:$C$41,3,FALSE),"")</f>
        <v>5</v>
      </c>
      <c r="R223">
        <v>338</v>
      </c>
      <c r="S223" t="b">
        <v>1</v>
      </c>
      <c r="T223">
        <v>9</v>
      </c>
      <c r="Y223" s="17"/>
      <c r="Z223" s="17"/>
      <c r="AA223" s="17"/>
      <c r="AB223" s="17"/>
    </row>
    <row r="224" spans="1:28" x14ac:dyDescent="0.3">
      <c r="A224" s="10" t="s">
        <v>480</v>
      </c>
      <c r="B224" s="10" t="s">
        <v>481</v>
      </c>
      <c r="C224" s="10" t="s">
        <v>52</v>
      </c>
      <c r="D224" s="15">
        <v>8384</v>
      </c>
      <c r="E224" s="17">
        <v>35.887506999999999</v>
      </c>
      <c r="F224" s="17">
        <v>160.68373360202892</v>
      </c>
      <c r="G224" s="17">
        <v>62.34813479799778</v>
      </c>
      <c r="H224" s="17">
        <v>43.880873149478226</v>
      </c>
      <c r="I224" s="17">
        <v>39.213454770979453</v>
      </c>
      <c r="J224" s="17">
        <v>15.241270883573449</v>
      </c>
      <c r="K224" s="12" t="s">
        <v>682</v>
      </c>
      <c r="L224" s="1">
        <f>VLOOKUP(K224,Paramètres!$A$18:$B$21,2,FALSE)</f>
        <v>0.21</v>
      </c>
      <c r="M224" s="1">
        <f>VLOOKUP($K224,Paramètres!$A$27:$D$30,2,FALSE)</f>
        <v>0.33</v>
      </c>
      <c r="N224" s="1">
        <f>VLOOKUP($K224,Paramètres!$A$27:$D$30,3,FALSE)</f>
        <v>0.35</v>
      </c>
      <c r="O224" s="1">
        <f>VLOOKUP($K224,Paramètres!$A$27:$D$30,4,FALSE)</f>
        <v>0.32</v>
      </c>
      <c r="P224">
        <f>_xlfn.IFNA(VLOOKUP($K224,Paramètres!$A$38:$C$41,2,FALSE),"")</f>
        <v>4</v>
      </c>
      <c r="Q224">
        <f>_xlfn.IFNA(VLOOKUP($K224,Paramètres!$A$38:$C$41,3,FALSE),"")</f>
        <v>5</v>
      </c>
      <c r="R224">
        <v>100</v>
      </c>
      <c r="S224" t="b">
        <v>1</v>
      </c>
      <c r="T224">
        <v>3</v>
      </c>
      <c r="Y224" s="17"/>
      <c r="Z224" s="17"/>
      <c r="AA224" s="17"/>
      <c r="AB224" s="17"/>
    </row>
    <row r="225" spans="1:28" x14ac:dyDescent="0.3">
      <c r="A225" s="10" t="s">
        <v>482</v>
      </c>
      <c r="B225" s="10" t="s">
        <v>483</v>
      </c>
      <c r="C225" s="10" t="s">
        <v>52</v>
      </c>
      <c r="D225" s="15">
        <v>6191</v>
      </c>
      <c r="E225" s="17">
        <v>95.234881000000001</v>
      </c>
      <c r="F225" s="17">
        <v>397.62557661573146</v>
      </c>
      <c r="G225" s="17">
        <v>300.77727540675158</v>
      </c>
      <c r="H225" s="17">
        <v>42.506632619317728</v>
      </c>
      <c r="I225" s="17">
        <v>54.341668589662149</v>
      </c>
      <c r="J225" s="17">
        <v>0</v>
      </c>
      <c r="K225" s="12" t="s">
        <v>682</v>
      </c>
      <c r="L225" s="1">
        <f>VLOOKUP(K225,Paramètres!$A$18:$B$21,2,FALSE)</f>
        <v>0.21</v>
      </c>
      <c r="M225" s="1">
        <f>VLOOKUP($K225,Paramètres!$A$27:$D$30,2,FALSE)</f>
        <v>0.33</v>
      </c>
      <c r="N225" s="1">
        <f>VLOOKUP($K225,Paramètres!$A$27:$D$30,3,FALSE)</f>
        <v>0.35</v>
      </c>
      <c r="O225" s="1">
        <f>VLOOKUP($K225,Paramètres!$A$27:$D$30,4,FALSE)</f>
        <v>0.32</v>
      </c>
      <c r="P225">
        <f>_xlfn.IFNA(VLOOKUP($K225,Paramètres!$A$38:$C$41,2,FALSE),"")</f>
        <v>4</v>
      </c>
      <c r="Q225">
        <f>_xlfn.IFNA(VLOOKUP($K225,Paramètres!$A$38:$C$41,3,FALSE),"")</f>
        <v>5</v>
      </c>
      <c r="R225">
        <v>123</v>
      </c>
      <c r="S225" t="b">
        <v>0</v>
      </c>
      <c r="T225">
        <v>3</v>
      </c>
      <c r="Y225" s="17"/>
      <c r="Z225" s="17"/>
      <c r="AA225" s="17"/>
      <c r="AB225" s="17"/>
    </row>
    <row r="226" spans="1:28" x14ac:dyDescent="0.3">
      <c r="A226" s="10" t="s">
        <v>484</v>
      </c>
      <c r="B226" s="10" t="s">
        <v>485</v>
      </c>
      <c r="C226" s="10" t="s">
        <v>52</v>
      </c>
      <c r="D226" s="15">
        <v>17265</v>
      </c>
      <c r="E226" s="17">
        <v>27.192941000000001</v>
      </c>
      <c r="F226" s="17">
        <v>195.84440296501413</v>
      </c>
      <c r="G226" s="17">
        <v>15.854219844450519</v>
      </c>
      <c r="H226" s="17">
        <v>79.145161598291153</v>
      </c>
      <c r="I226" s="17">
        <v>45.411386760777006</v>
      </c>
      <c r="J226" s="17">
        <v>55.433634761495455</v>
      </c>
      <c r="K226" s="12" t="s">
        <v>682</v>
      </c>
      <c r="L226" s="1">
        <f>VLOOKUP(K226,Paramètres!$A$18:$B$21,2,FALSE)</f>
        <v>0.21</v>
      </c>
      <c r="M226" s="1">
        <f>VLOOKUP($K226,Paramètres!$A$27:$D$30,2,FALSE)</f>
        <v>0.33</v>
      </c>
      <c r="N226" s="1">
        <f>VLOOKUP($K226,Paramètres!$A$27:$D$30,3,FALSE)</f>
        <v>0.35</v>
      </c>
      <c r="O226" s="1">
        <f>VLOOKUP($K226,Paramètres!$A$27:$D$30,4,FALSE)</f>
        <v>0.32</v>
      </c>
      <c r="P226">
        <f>_xlfn.IFNA(VLOOKUP($K226,Paramètres!$A$38:$C$41,2,FALSE),"")</f>
        <v>4</v>
      </c>
      <c r="Q226">
        <f>_xlfn.IFNA(VLOOKUP($K226,Paramètres!$A$38:$C$41,3,FALSE),"")</f>
        <v>5</v>
      </c>
      <c r="R226">
        <v>207</v>
      </c>
      <c r="S226" t="b">
        <v>1</v>
      </c>
      <c r="T226">
        <v>6</v>
      </c>
      <c r="Y226" s="17"/>
      <c r="Z226" s="17"/>
      <c r="AA226" s="17"/>
      <c r="AB226" s="17"/>
    </row>
    <row r="227" spans="1:28" x14ac:dyDescent="0.3">
      <c r="A227" s="10" t="s">
        <v>486</v>
      </c>
      <c r="B227" s="10" t="s">
        <v>487</v>
      </c>
      <c r="C227" s="10" t="s">
        <v>52</v>
      </c>
      <c r="D227" s="15">
        <v>9806</v>
      </c>
      <c r="E227" s="17">
        <v>39.849375000000002</v>
      </c>
      <c r="F227" s="17">
        <v>252.97065404303535</v>
      </c>
      <c r="G227" s="17">
        <v>123.82997990191971</v>
      </c>
      <c r="H227" s="17">
        <v>25.053927040643575</v>
      </c>
      <c r="I227" s="17">
        <v>79.628933675779464</v>
      </c>
      <c r="J227" s="17">
        <v>24.457813424692567</v>
      </c>
      <c r="K227" s="12" t="s">
        <v>682</v>
      </c>
      <c r="L227" s="1">
        <f>VLOOKUP(K227,Paramètres!$A$18:$B$21,2,FALSE)</f>
        <v>0.21</v>
      </c>
      <c r="M227" s="1">
        <f>VLOOKUP($K227,Paramètres!$A$27:$D$30,2,FALSE)</f>
        <v>0.33</v>
      </c>
      <c r="N227" s="1">
        <f>VLOOKUP($K227,Paramètres!$A$27:$D$30,3,FALSE)</f>
        <v>0.35</v>
      </c>
      <c r="O227" s="1">
        <f>VLOOKUP($K227,Paramètres!$A$27:$D$30,4,FALSE)</f>
        <v>0.32</v>
      </c>
      <c r="P227">
        <f>_xlfn.IFNA(VLOOKUP($K227,Paramètres!$A$38:$C$41,2,FALSE),"")</f>
        <v>4</v>
      </c>
      <c r="Q227">
        <f>_xlfn.IFNA(VLOOKUP($K227,Paramètres!$A$38:$C$41,3,FALSE),"")</f>
        <v>5</v>
      </c>
      <c r="R227">
        <v>197</v>
      </c>
      <c r="S227" t="b">
        <v>0</v>
      </c>
      <c r="T227">
        <v>5</v>
      </c>
      <c r="Y227" s="17"/>
      <c r="Z227" s="17"/>
      <c r="AA227" s="17"/>
      <c r="AB227" s="17"/>
    </row>
    <row r="228" spans="1:28" x14ac:dyDescent="0.3">
      <c r="A228" s="10" t="s">
        <v>488</v>
      </c>
      <c r="B228" s="10" t="s">
        <v>489</v>
      </c>
      <c r="C228" s="10" t="s">
        <v>52</v>
      </c>
      <c r="D228" s="15">
        <v>15171</v>
      </c>
      <c r="E228" s="17">
        <v>74.461241999999999</v>
      </c>
      <c r="F228" s="17">
        <v>461.54906049819277</v>
      </c>
      <c r="G228" s="17">
        <v>134.48996860782427</v>
      </c>
      <c r="H228" s="17">
        <v>227.97865432154222</v>
      </c>
      <c r="I228" s="17">
        <v>30.251309366571224</v>
      </c>
      <c r="J228" s="17">
        <v>68.829128202255035</v>
      </c>
      <c r="K228" s="12" t="s">
        <v>682</v>
      </c>
      <c r="L228" s="1">
        <f>VLOOKUP(K228,Paramètres!$A$18:$B$21,2,FALSE)</f>
        <v>0.21</v>
      </c>
      <c r="M228" s="1">
        <f>VLOOKUP($K228,Paramètres!$A$27:$D$30,2,FALSE)</f>
        <v>0.33</v>
      </c>
      <c r="N228" s="1">
        <f>VLOOKUP($K228,Paramètres!$A$27:$D$30,3,FALSE)</f>
        <v>0.35</v>
      </c>
      <c r="O228" s="1">
        <f>VLOOKUP($K228,Paramètres!$A$27:$D$30,4,FALSE)</f>
        <v>0.32</v>
      </c>
      <c r="P228">
        <f>_xlfn.IFNA(VLOOKUP($K228,Paramètres!$A$38:$C$41,2,FALSE),"")</f>
        <v>4</v>
      </c>
      <c r="Q228">
        <f>_xlfn.IFNA(VLOOKUP($K228,Paramètres!$A$38:$C$41,3,FALSE),"")</f>
        <v>5</v>
      </c>
      <c r="R228">
        <v>188</v>
      </c>
      <c r="S228" t="b">
        <v>0</v>
      </c>
      <c r="T228">
        <v>5</v>
      </c>
      <c r="Y228" s="17"/>
      <c r="Z228" s="17"/>
      <c r="AA228" s="17"/>
      <c r="AB228" s="17"/>
    </row>
    <row r="229" spans="1:28" x14ac:dyDescent="0.3">
      <c r="A229" s="10" t="s">
        <v>490</v>
      </c>
      <c r="B229" s="10" t="s">
        <v>491</v>
      </c>
      <c r="C229" s="10" t="s">
        <v>52</v>
      </c>
      <c r="D229" s="15">
        <v>7279</v>
      </c>
      <c r="E229" s="17">
        <v>85.138283999999999</v>
      </c>
      <c r="F229" s="17">
        <v>526.48473257124954</v>
      </c>
      <c r="G229" s="17">
        <v>417.92930472205245</v>
      </c>
      <c r="H229" s="17">
        <v>35.572263214940875</v>
      </c>
      <c r="I229" s="17">
        <v>64.017131557600919</v>
      </c>
      <c r="J229" s="17">
        <v>8.96603307665535</v>
      </c>
      <c r="K229" s="12" t="s">
        <v>682</v>
      </c>
      <c r="L229" s="1">
        <f>VLOOKUP(K229,Paramètres!$A$18:$B$21,2,FALSE)</f>
        <v>0.21</v>
      </c>
      <c r="M229" s="1">
        <f>VLOOKUP($K229,Paramètres!$A$27:$D$30,2,FALSE)</f>
        <v>0.33</v>
      </c>
      <c r="N229" s="1">
        <f>VLOOKUP($K229,Paramètres!$A$27:$D$30,3,FALSE)</f>
        <v>0.35</v>
      </c>
      <c r="O229" s="1">
        <f>VLOOKUP($K229,Paramètres!$A$27:$D$30,4,FALSE)</f>
        <v>0.32</v>
      </c>
      <c r="P229">
        <f>_xlfn.IFNA(VLOOKUP($K229,Paramètres!$A$38:$C$41,2,FALSE),"")</f>
        <v>4</v>
      </c>
      <c r="Q229">
        <f>_xlfn.IFNA(VLOOKUP($K229,Paramètres!$A$38:$C$41,3,FALSE),"")</f>
        <v>5</v>
      </c>
      <c r="R229">
        <v>165</v>
      </c>
      <c r="S229" t="b">
        <v>0</v>
      </c>
      <c r="T229">
        <v>4</v>
      </c>
      <c r="Y229" s="17"/>
      <c r="Z229" s="17"/>
      <c r="AA229" s="17"/>
      <c r="AB229" s="17"/>
    </row>
    <row r="230" spans="1:28" x14ac:dyDescent="0.3">
      <c r="A230" s="10" t="s">
        <v>492</v>
      </c>
      <c r="B230" s="10" t="s">
        <v>493</v>
      </c>
      <c r="C230" s="10" t="s">
        <v>52</v>
      </c>
      <c r="D230" s="15">
        <v>3233</v>
      </c>
      <c r="E230" s="17">
        <v>108.54019</v>
      </c>
      <c r="F230" s="17">
        <v>616.46134463762394</v>
      </c>
      <c r="G230" s="17">
        <v>562.39481788111584</v>
      </c>
      <c r="H230" s="17">
        <v>27.050276189093967</v>
      </c>
      <c r="I230" s="17">
        <v>27.016250567414151</v>
      </c>
      <c r="J230" s="17">
        <v>0</v>
      </c>
      <c r="K230" s="12" t="s">
        <v>682</v>
      </c>
      <c r="L230" s="1">
        <f>VLOOKUP(K230,Paramètres!$A$18:$B$21,2,FALSE)</f>
        <v>0.21</v>
      </c>
      <c r="M230" s="1">
        <f>VLOOKUP($K230,Paramètres!$A$27:$D$30,2,FALSE)</f>
        <v>0.33</v>
      </c>
      <c r="N230" s="1">
        <f>VLOOKUP($K230,Paramètres!$A$27:$D$30,3,FALSE)</f>
        <v>0.35</v>
      </c>
      <c r="O230" s="1">
        <f>VLOOKUP($K230,Paramètres!$A$27:$D$30,4,FALSE)</f>
        <v>0.32</v>
      </c>
      <c r="P230">
        <f>_xlfn.IFNA(VLOOKUP($K230,Paramètres!$A$38:$C$41,2,FALSE),"")</f>
        <v>4</v>
      </c>
      <c r="Q230">
        <f>_xlfn.IFNA(VLOOKUP($K230,Paramètres!$A$38:$C$41,3,FALSE),"")</f>
        <v>5</v>
      </c>
      <c r="R230">
        <v>105</v>
      </c>
      <c r="S230" t="b">
        <v>0</v>
      </c>
      <c r="T230">
        <v>3</v>
      </c>
      <c r="Y230" s="17"/>
      <c r="Z230" s="17"/>
      <c r="AA230" s="17"/>
      <c r="AB230" s="17"/>
    </row>
    <row r="231" spans="1:28" x14ac:dyDescent="0.3">
      <c r="A231" s="10" t="s">
        <v>494</v>
      </c>
      <c r="B231" s="10" t="s">
        <v>495</v>
      </c>
      <c r="C231" s="10" t="s">
        <v>52</v>
      </c>
      <c r="D231" s="15">
        <v>2519</v>
      </c>
      <c r="E231" s="17">
        <v>56.951563999999998</v>
      </c>
      <c r="F231" s="17">
        <v>279.28367964377713</v>
      </c>
      <c r="G231" s="17">
        <v>246.56190658543608</v>
      </c>
      <c r="H231" s="17">
        <v>1.3614633032338259</v>
      </c>
      <c r="I231" s="17">
        <v>31.360309755107206</v>
      </c>
      <c r="J231" s="17">
        <v>0</v>
      </c>
      <c r="K231" s="12" t="s">
        <v>682</v>
      </c>
      <c r="L231" s="1">
        <f>VLOOKUP(K231,Paramètres!$A$18:$B$21,2,FALSE)</f>
        <v>0.21</v>
      </c>
      <c r="M231" s="1">
        <f>VLOOKUP($K231,Paramètres!$A$27:$D$30,2,FALSE)</f>
        <v>0.33</v>
      </c>
      <c r="N231" s="1">
        <f>VLOOKUP($K231,Paramètres!$A$27:$D$30,3,FALSE)</f>
        <v>0.35</v>
      </c>
      <c r="O231" s="1">
        <f>VLOOKUP($K231,Paramètres!$A$27:$D$30,4,FALSE)</f>
        <v>0.32</v>
      </c>
      <c r="P231">
        <f>_xlfn.IFNA(VLOOKUP($K231,Paramètres!$A$38:$C$41,2,FALSE),"")</f>
        <v>4</v>
      </c>
      <c r="Q231">
        <f>_xlfn.IFNA(VLOOKUP($K231,Paramètres!$A$38:$C$41,3,FALSE),"")</f>
        <v>5</v>
      </c>
      <c r="R231">
        <v>65</v>
      </c>
      <c r="S231" t="b">
        <v>0</v>
      </c>
      <c r="T231">
        <v>2</v>
      </c>
      <c r="Y231" s="17"/>
      <c r="Z231" s="17"/>
      <c r="AA231" s="17"/>
      <c r="AB231" s="17"/>
    </row>
    <row r="232" spans="1:28" x14ac:dyDescent="0.3">
      <c r="A232" s="10" t="s">
        <v>496</v>
      </c>
      <c r="B232" s="10" t="s">
        <v>497</v>
      </c>
      <c r="C232" s="10" t="s">
        <v>52</v>
      </c>
      <c r="D232" s="15">
        <v>2876</v>
      </c>
      <c r="E232" s="17">
        <v>91.949753999999999</v>
      </c>
      <c r="F232" s="17">
        <v>367.77106371696766</v>
      </c>
      <c r="G232" s="17">
        <v>294.04552335919692</v>
      </c>
      <c r="H232" s="17">
        <v>52.570437476641878</v>
      </c>
      <c r="I232" s="17">
        <v>21.155102881128801</v>
      </c>
      <c r="J232" s="17">
        <v>0</v>
      </c>
      <c r="K232" s="12" t="s">
        <v>682</v>
      </c>
      <c r="L232" s="1">
        <f>VLOOKUP(K232,Paramètres!$A$18:$B$21,2,FALSE)</f>
        <v>0.21</v>
      </c>
      <c r="M232" s="1">
        <f>VLOOKUP($K232,Paramètres!$A$27:$D$30,2,FALSE)</f>
        <v>0.33</v>
      </c>
      <c r="N232" s="1">
        <f>VLOOKUP($K232,Paramètres!$A$27:$D$30,3,FALSE)</f>
        <v>0.35</v>
      </c>
      <c r="O232" s="1">
        <f>VLOOKUP($K232,Paramètres!$A$27:$D$30,4,FALSE)</f>
        <v>0.32</v>
      </c>
      <c r="P232">
        <f>_xlfn.IFNA(VLOOKUP($K232,Paramètres!$A$38:$C$41,2,FALSE),"")</f>
        <v>4</v>
      </c>
      <c r="Q232">
        <f>_xlfn.IFNA(VLOOKUP($K232,Paramètres!$A$38:$C$41,3,FALSE),"")</f>
        <v>5</v>
      </c>
      <c r="R232">
        <v>117</v>
      </c>
      <c r="S232" t="b">
        <v>0</v>
      </c>
      <c r="T232">
        <v>3</v>
      </c>
      <c r="Y232" s="17"/>
      <c r="Z232" s="17"/>
      <c r="AA232" s="17"/>
      <c r="AB232" s="17"/>
    </row>
    <row r="233" spans="1:28" x14ac:dyDescent="0.3">
      <c r="A233" s="10" t="s">
        <v>498</v>
      </c>
      <c r="B233" s="10" t="s">
        <v>499</v>
      </c>
      <c r="C233" s="10" t="s">
        <v>52</v>
      </c>
      <c r="D233" s="15">
        <v>12144</v>
      </c>
      <c r="E233" s="17">
        <v>83.477866000000006</v>
      </c>
      <c r="F233" s="17">
        <v>571.33558883204353</v>
      </c>
      <c r="G233" s="17">
        <v>300.06788679337245</v>
      </c>
      <c r="H233" s="17">
        <v>178.32123077299363</v>
      </c>
      <c r="I233" s="17">
        <v>32.239296378967843</v>
      </c>
      <c r="J233" s="17">
        <v>60.707174886709609</v>
      </c>
      <c r="K233" s="12" t="s">
        <v>682</v>
      </c>
      <c r="L233" s="1">
        <f>VLOOKUP(K233,Paramètres!$A$18:$B$21,2,FALSE)</f>
        <v>0.21</v>
      </c>
      <c r="M233" s="1">
        <f>VLOOKUP($K233,Paramètres!$A$27:$D$30,2,FALSE)</f>
        <v>0.33</v>
      </c>
      <c r="N233" s="1">
        <f>VLOOKUP($K233,Paramètres!$A$27:$D$30,3,FALSE)</f>
        <v>0.35</v>
      </c>
      <c r="O233" s="1">
        <f>VLOOKUP($K233,Paramètres!$A$27:$D$30,4,FALSE)</f>
        <v>0.32</v>
      </c>
      <c r="P233">
        <f>_xlfn.IFNA(VLOOKUP($K233,Paramètres!$A$38:$C$41,2,FALSE),"")</f>
        <v>4</v>
      </c>
      <c r="Q233">
        <f>_xlfn.IFNA(VLOOKUP($K233,Paramètres!$A$38:$C$41,3,FALSE),"")</f>
        <v>5</v>
      </c>
      <c r="R233">
        <v>226</v>
      </c>
      <c r="S233" t="b">
        <v>1</v>
      </c>
      <c r="T233">
        <v>6</v>
      </c>
      <c r="Y233" s="17"/>
      <c r="Z233" s="17"/>
      <c r="AA233" s="17"/>
      <c r="AB233" s="17"/>
    </row>
    <row r="234" spans="1:28" x14ac:dyDescent="0.3">
      <c r="A234" s="10" t="s">
        <v>500</v>
      </c>
      <c r="B234" s="10" t="s">
        <v>501</v>
      </c>
      <c r="C234" s="10" t="s">
        <v>52</v>
      </c>
      <c r="D234" s="15">
        <v>5584</v>
      </c>
      <c r="E234" s="17">
        <v>28.642479000000002</v>
      </c>
      <c r="F234" s="17">
        <v>144.33313738293663</v>
      </c>
      <c r="G234" s="17">
        <v>17.313731140535637</v>
      </c>
      <c r="H234" s="17">
        <v>105.01353223866278</v>
      </c>
      <c r="I234" s="17">
        <v>11.126838530966218</v>
      </c>
      <c r="J234" s="17">
        <v>10.879035472771999</v>
      </c>
      <c r="K234" s="12" t="s">
        <v>682</v>
      </c>
      <c r="L234" s="1">
        <f>VLOOKUP(K234,Paramètres!$A$18:$B$21,2,FALSE)</f>
        <v>0.21</v>
      </c>
      <c r="M234" s="1">
        <f>VLOOKUP($K234,Paramètres!$A$27:$D$30,2,FALSE)</f>
        <v>0.33</v>
      </c>
      <c r="N234" s="1">
        <f>VLOOKUP($K234,Paramètres!$A$27:$D$30,3,FALSE)</f>
        <v>0.35</v>
      </c>
      <c r="O234" s="1">
        <f>VLOOKUP($K234,Paramètres!$A$27:$D$30,4,FALSE)</f>
        <v>0.32</v>
      </c>
      <c r="P234">
        <f>_xlfn.IFNA(VLOOKUP($K234,Paramètres!$A$38:$C$41,2,FALSE),"")</f>
        <v>4</v>
      </c>
      <c r="Q234">
        <f>_xlfn.IFNA(VLOOKUP($K234,Paramètres!$A$38:$C$41,3,FALSE),"")</f>
        <v>5</v>
      </c>
      <c r="R234">
        <v>97</v>
      </c>
      <c r="S234" t="b">
        <v>1</v>
      </c>
      <c r="T234">
        <v>3</v>
      </c>
      <c r="Y234" s="17"/>
      <c r="Z234" s="17"/>
      <c r="AA234" s="17"/>
      <c r="AB234" s="17"/>
    </row>
    <row r="235" spans="1:28" x14ac:dyDescent="0.3">
      <c r="A235" s="10" t="s">
        <v>502</v>
      </c>
      <c r="B235" s="10" t="s">
        <v>503</v>
      </c>
      <c r="C235" s="10" t="s">
        <v>52</v>
      </c>
      <c r="D235" s="15">
        <v>14864</v>
      </c>
      <c r="E235" s="17">
        <v>76.655021000000005</v>
      </c>
      <c r="F235" s="17">
        <v>317.24481761577454</v>
      </c>
      <c r="G235" s="17">
        <v>198.89378810732478</v>
      </c>
      <c r="H235" s="17">
        <v>46.71901718426453</v>
      </c>
      <c r="I235" s="17">
        <v>50.861703292089686</v>
      </c>
      <c r="J235" s="17">
        <v>20.770309032095518</v>
      </c>
      <c r="K235" s="12" t="s">
        <v>681</v>
      </c>
      <c r="L235" s="1">
        <f>VLOOKUP(K235,Paramètres!$A$18:$B$21,2,FALSE)</f>
        <v>0.34</v>
      </c>
      <c r="M235" s="1">
        <f>VLOOKUP($K235,Paramètres!$A$27:$D$30,2,FALSE)</f>
        <v>0.26</v>
      </c>
      <c r="N235" s="1">
        <f>VLOOKUP($K235,Paramètres!$A$27:$D$30,3,FALSE)</f>
        <v>0.33</v>
      </c>
      <c r="O235" s="1">
        <f>VLOOKUP($K235,Paramètres!$A$27:$D$30,4,FALSE)</f>
        <v>0.41</v>
      </c>
      <c r="P235">
        <f>_xlfn.IFNA(VLOOKUP($K235,Paramètres!$A$38:$C$41,2,FALSE),"")</f>
        <v>3</v>
      </c>
      <c r="Q235">
        <f>_xlfn.IFNA(VLOOKUP($K235,Paramètres!$A$38:$C$41,3,FALSE),"")</f>
        <v>5</v>
      </c>
      <c r="R235">
        <v>283</v>
      </c>
      <c r="S235" t="b">
        <v>1</v>
      </c>
      <c r="T235">
        <v>8</v>
      </c>
      <c r="Y235" s="17"/>
      <c r="Z235" s="17"/>
      <c r="AA235" s="17"/>
      <c r="AB235" s="17"/>
    </row>
    <row r="236" spans="1:28" x14ac:dyDescent="0.3">
      <c r="A236" s="10" t="s">
        <v>504</v>
      </c>
      <c r="B236" s="10" t="s">
        <v>505</v>
      </c>
      <c r="C236" s="10" t="s">
        <v>52</v>
      </c>
      <c r="D236" s="15">
        <v>2782</v>
      </c>
      <c r="E236" s="17">
        <v>37.255792999999997</v>
      </c>
      <c r="F236" s="17">
        <v>137.00542057727515</v>
      </c>
      <c r="G236" s="17">
        <v>110.51050616086623</v>
      </c>
      <c r="H236" s="17">
        <v>2.5248226607662558</v>
      </c>
      <c r="I236" s="17">
        <v>23.970091755642684</v>
      </c>
      <c r="J236" s="17">
        <v>0</v>
      </c>
      <c r="K236" s="12" t="s">
        <v>682</v>
      </c>
      <c r="L236" s="1">
        <f>VLOOKUP(K236,Paramètres!$A$18:$B$21,2,FALSE)</f>
        <v>0.21</v>
      </c>
      <c r="M236" s="1">
        <f>VLOOKUP($K236,Paramètres!$A$27:$D$30,2,FALSE)</f>
        <v>0.33</v>
      </c>
      <c r="N236" s="1">
        <f>VLOOKUP($K236,Paramètres!$A$27:$D$30,3,FALSE)</f>
        <v>0.35</v>
      </c>
      <c r="O236" s="1">
        <f>VLOOKUP($K236,Paramètres!$A$27:$D$30,4,FALSE)</f>
        <v>0.32</v>
      </c>
      <c r="P236">
        <f>_xlfn.IFNA(VLOOKUP($K236,Paramètres!$A$38:$C$41,2,FALSE),"")</f>
        <v>4</v>
      </c>
      <c r="Q236">
        <f>_xlfn.IFNA(VLOOKUP($K236,Paramètres!$A$38:$C$41,3,FALSE),"")</f>
        <v>5</v>
      </c>
      <c r="R236">
        <v>50</v>
      </c>
      <c r="S236" t="b">
        <v>1</v>
      </c>
      <c r="T236">
        <v>1</v>
      </c>
      <c r="Y236" s="17"/>
      <c r="Z236" s="17"/>
      <c r="AA236" s="17"/>
      <c r="AB236" s="17"/>
    </row>
    <row r="237" spans="1:28" x14ac:dyDescent="0.3">
      <c r="A237" s="10" t="s">
        <v>506</v>
      </c>
      <c r="B237" s="10" t="s">
        <v>507</v>
      </c>
      <c r="C237" s="10" t="s">
        <v>52</v>
      </c>
      <c r="D237" s="15">
        <v>4593</v>
      </c>
      <c r="E237" s="17">
        <v>81.882368</v>
      </c>
      <c r="F237" s="17">
        <v>386.05881503286321</v>
      </c>
      <c r="G237" s="17">
        <v>348.98934858286975</v>
      </c>
      <c r="H237" s="17">
        <v>0</v>
      </c>
      <c r="I237" s="17">
        <v>13.731125891351716</v>
      </c>
      <c r="J237" s="17">
        <v>23.338340558641768</v>
      </c>
      <c r="K237" s="12" t="s">
        <v>682</v>
      </c>
      <c r="L237" s="1">
        <f>VLOOKUP(K237,Paramètres!$A$18:$B$21,2,FALSE)</f>
        <v>0.21</v>
      </c>
      <c r="M237" s="1">
        <f>VLOOKUP($K237,Paramètres!$A$27:$D$30,2,FALSE)</f>
        <v>0.33</v>
      </c>
      <c r="N237" s="1">
        <f>VLOOKUP($K237,Paramètres!$A$27:$D$30,3,FALSE)</f>
        <v>0.35</v>
      </c>
      <c r="O237" s="1">
        <f>VLOOKUP($K237,Paramètres!$A$27:$D$30,4,FALSE)</f>
        <v>0.32</v>
      </c>
      <c r="P237">
        <f>_xlfn.IFNA(VLOOKUP($K237,Paramètres!$A$38:$C$41,2,FALSE),"")</f>
        <v>4</v>
      </c>
      <c r="Q237">
        <f>_xlfn.IFNA(VLOOKUP($K237,Paramètres!$A$38:$C$41,3,FALSE),"")</f>
        <v>5</v>
      </c>
      <c r="R237">
        <v>104</v>
      </c>
      <c r="S237" t="b">
        <v>1</v>
      </c>
      <c r="T237">
        <v>3</v>
      </c>
      <c r="Y237" s="17"/>
      <c r="Z237" s="17"/>
      <c r="AA237" s="17"/>
      <c r="AB237" s="17"/>
    </row>
    <row r="238" spans="1:28" x14ac:dyDescent="0.3">
      <c r="A238" s="10" t="s">
        <v>508</v>
      </c>
      <c r="B238" s="10" t="s">
        <v>509</v>
      </c>
      <c r="C238" s="10" t="s">
        <v>52</v>
      </c>
      <c r="D238" s="15">
        <v>68991</v>
      </c>
      <c r="E238" s="17">
        <v>215.34191300000001</v>
      </c>
      <c r="F238" s="17">
        <v>1259.5271361288817</v>
      </c>
      <c r="G238" s="17">
        <v>798.12381828264176</v>
      </c>
      <c r="H238" s="17">
        <v>278.61389324929638</v>
      </c>
      <c r="I238" s="17">
        <v>114.04906213043182</v>
      </c>
      <c r="J238" s="17">
        <v>68.740362466511854</v>
      </c>
      <c r="K238" s="12" t="s">
        <v>683</v>
      </c>
      <c r="L238" s="1">
        <f>VLOOKUP(K238,Paramètres!$A$18:$B$21,2,FALSE)</f>
        <v>0.34</v>
      </c>
      <c r="M238" s="1">
        <f>VLOOKUP($K238,Paramètres!$A$27:$D$30,2,FALSE)</f>
        <v>0.37</v>
      </c>
      <c r="N238" s="1">
        <f>VLOOKUP($K238,Paramètres!$A$27:$D$30,3,FALSE)</f>
        <v>0.39</v>
      </c>
      <c r="O238" s="1">
        <f>VLOOKUP($K238,Paramètres!$A$27:$D$30,4,FALSE)</f>
        <v>0.24</v>
      </c>
      <c r="P238">
        <f>_xlfn.IFNA(VLOOKUP($K238,Paramètres!$A$38:$C$41,2,FALSE),"")</f>
        <v>2</v>
      </c>
      <c r="Q238">
        <f>_xlfn.IFNA(VLOOKUP($K238,Paramètres!$A$38:$C$41,3,FALSE),"")</f>
        <v>15</v>
      </c>
      <c r="R238">
        <v>345</v>
      </c>
      <c r="S238" t="b">
        <v>1</v>
      </c>
      <c r="T238">
        <v>9</v>
      </c>
      <c r="Y238" s="17"/>
      <c r="Z238" s="17"/>
      <c r="AA238" s="17"/>
      <c r="AB238" s="17"/>
    </row>
    <row r="239" spans="1:28" x14ac:dyDescent="0.3">
      <c r="A239" s="10" t="s">
        <v>510</v>
      </c>
      <c r="B239" s="10" t="s">
        <v>511</v>
      </c>
      <c r="C239" s="10" t="s">
        <v>52</v>
      </c>
      <c r="D239" s="15">
        <v>2566</v>
      </c>
      <c r="E239" s="17">
        <v>68.827592999999993</v>
      </c>
      <c r="F239" s="17">
        <v>365.4256971314332</v>
      </c>
      <c r="G239" s="17">
        <v>321.13433875280714</v>
      </c>
      <c r="H239" s="17">
        <v>23.951857425658595</v>
      </c>
      <c r="I239" s="17">
        <v>13.610072745633602</v>
      </c>
      <c r="J239" s="17">
        <v>6.7294282073339087</v>
      </c>
      <c r="K239" s="12" t="s">
        <v>682</v>
      </c>
      <c r="L239" s="1">
        <f>VLOOKUP(K239,Paramètres!$A$18:$B$21,2,FALSE)</f>
        <v>0.21</v>
      </c>
      <c r="M239" s="1">
        <f>VLOOKUP($K239,Paramètres!$A$27:$D$30,2,FALSE)</f>
        <v>0.33</v>
      </c>
      <c r="N239" s="1">
        <f>VLOOKUP($K239,Paramètres!$A$27:$D$30,3,FALSE)</f>
        <v>0.35</v>
      </c>
      <c r="O239" s="1">
        <f>VLOOKUP($K239,Paramètres!$A$27:$D$30,4,FALSE)</f>
        <v>0.32</v>
      </c>
      <c r="P239">
        <f>_xlfn.IFNA(VLOOKUP($K239,Paramètres!$A$38:$C$41,2,FALSE),"")</f>
        <v>4</v>
      </c>
      <c r="Q239">
        <f>_xlfn.IFNA(VLOOKUP($K239,Paramètres!$A$38:$C$41,3,FALSE),"")</f>
        <v>5</v>
      </c>
      <c r="R239">
        <v>136</v>
      </c>
      <c r="S239" t="b">
        <v>0</v>
      </c>
      <c r="T239">
        <v>4</v>
      </c>
      <c r="Y239" s="17"/>
      <c r="Z239" s="17"/>
      <c r="AA239" s="17"/>
      <c r="AB239" s="17"/>
    </row>
    <row r="240" spans="1:28" x14ac:dyDescent="0.3">
      <c r="A240" s="10" t="s">
        <v>512</v>
      </c>
      <c r="B240" s="10" t="s">
        <v>513</v>
      </c>
      <c r="C240" s="10" t="s">
        <v>52</v>
      </c>
      <c r="D240" s="15">
        <v>8200</v>
      </c>
      <c r="E240" s="17">
        <v>24.25836</v>
      </c>
      <c r="F240" s="17">
        <v>173.77603325213576</v>
      </c>
      <c r="G240" s="17">
        <v>42.626623375841369</v>
      </c>
      <c r="H240" s="17">
        <v>86.994515862719979</v>
      </c>
      <c r="I240" s="17">
        <v>13.273545345918395</v>
      </c>
      <c r="J240" s="17">
        <v>30.881348667656013</v>
      </c>
      <c r="K240" s="12" t="s">
        <v>682</v>
      </c>
      <c r="L240" s="1">
        <f>VLOOKUP(K240,Paramètres!$A$18:$B$21,2,FALSE)</f>
        <v>0.21</v>
      </c>
      <c r="M240" s="1">
        <f>VLOOKUP($K240,Paramètres!$A$27:$D$30,2,FALSE)</f>
        <v>0.33</v>
      </c>
      <c r="N240" s="1">
        <f>VLOOKUP($K240,Paramètres!$A$27:$D$30,3,FALSE)</f>
        <v>0.35</v>
      </c>
      <c r="O240" s="1">
        <f>VLOOKUP($K240,Paramètres!$A$27:$D$30,4,FALSE)</f>
        <v>0.32</v>
      </c>
      <c r="P240">
        <f>_xlfn.IFNA(VLOOKUP($K240,Paramètres!$A$38:$C$41,2,FALSE),"")</f>
        <v>4</v>
      </c>
      <c r="Q240">
        <f>_xlfn.IFNA(VLOOKUP($K240,Paramètres!$A$38:$C$41,3,FALSE),"")</f>
        <v>5</v>
      </c>
      <c r="R240">
        <v>103</v>
      </c>
      <c r="S240" t="b">
        <v>0</v>
      </c>
      <c r="T240">
        <v>3</v>
      </c>
      <c r="Y240" s="17"/>
      <c r="Z240" s="17"/>
      <c r="AA240" s="17"/>
      <c r="AB240" s="17"/>
    </row>
    <row r="241" spans="1:28" x14ac:dyDescent="0.3">
      <c r="A241" s="10" t="s">
        <v>514</v>
      </c>
      <c r="B241" s="10" t="s">
        <v>515</v>
      </c>
      <c r="C241" s="10" t="s">
        <v>52</v>
      </c>
      <c r="D241" s="15">
        <v>28716</v>
      </c>
      <c r="E241" s="17">
        <v>32.771624000000003</v>
      </c>
      <c r="F241" s="17">
        <v>216.23165005313879</v>
      </c>
      <c r="G241" s="17">
        <v>56.4296059475597</v>
      </c>
      <c r="H241" s="17">
        <v>47.425001756792419</v>
      </c>
      <c r="I241" s="17">
        <v>32.650699294231792</v>
      </c>
      <c r="J241" s="17">
        <v>79.726343054554903</v>
      </c>
      <c r="K241" s="12" t="s">
        <v>681</v>
      </c>
      <c r="L241" s="1">
        <f>VLOOKUP(K241,Paramètres!$A$18:$B$21,2,FALSE)</f>
        <v>0.34</v>
      </c>
      <c r="M241" s="1">
        <f>VLOOKUP($K241,Paramètres!$A$27:$D$30,2,FALSE)</f>
        <v>0.26</v>
      </c>
      <c r="N241" s="1">
        <f>VLOOKUP($K241,Paramètres!$A$27:$D$30,3,FALSE)</f>
        <v>0.33</v>
      </c>
      <c r="O241" s="1">
        <f>VLOOKUP($K241,Paramètres!$A$27:$D$30,4,FALSE)</f>
        <v>0.41</v>
      </c>
      <c r="P241">
        <f>_xlfn.IFNA(VLOOKUP($K241,Paramètres!$A$38:$C$41,2,FALSE),"")</f>
        <v>3</v>
      </c>
      <c r="Q241">
        <f>_xlfn.IFNA(VLOOKUP($K241,Paramètres!$A$38:$C$41,3,FALSE),"")</f>
        <v>5</v>
      </c>
      <c r="R241">
        <v>305</v>
      </c>
      <c r="S241" t="b">
        <v>1</v>
      </c>
      <c r="T241">
        <v>8</v>
      </c>
      <c r="Y241" s="17"/>
      <c r="Z241" s="17"/>
      <c r="AA241" s="17"/>
      <c r="AB241" s="17"/>
    </row>
    <row r="242" spans="1:28" x14ac:dyDescent="0.3">
      <c r="A242" s="10" t="s">
        <v>516</v>
      </c>
      <c r="B242" s="10" t="s">
        <v>517</v>
      </c>
      <c r="C242" s="10" t="s">
        <v>52</v>
      </c>
      <c r="D242" s="15">
        <v>6352</v>
      </c>
      <c r="E242" s="17">
        <v>135.71762699999999</v>
      </c>
      <c r="F242" s="17">
        <v>553.19238495816774</v>
      </c>
      <c r="G242" s="17">
        <v>486.86935720671897</v>
      </c>
      <c r="H242" s="17">
        <v>19.710603383085715</v>
      </c>
      <c r="I242" s="17">
        <v>46.612424368363151</v>
      </c>
      <c r="J242" s="17">
        <v>0</v>
      </c>
      <c r="K242" s="12" t="s">
        <v>682</v>
      </c>
      <c r="L242" s="1">
        <f>VLOOKUP(K242,Paramètres!$A$18:$B$21,2,FALSE)</f>
        <v>0.21</v>
      </c>
      <c r="M242" s="1">
        <f>VLOOKUP($K242,Paramètres!$A$27:$D$30,2,FALSE)</f>
        <v>0.33</v>
      </c>
      <c r="N242" s="1">
        <f>VLOOKUP($K242,Paramètres!$A$27:$D$30,3,FALSE)</f>
        <v>0.35</v>
      </c>
      <c r="O242" s="1">
        <f>VLOOKUP($K242,Paramètres!$A$27:$D$30,4,FALSE)</f>
        <v>0.32</v>
      </c>
      <c r="P242">
        <f>_xlfn.IFNA(VLOOKUP($K242,Paramètres!$A$38:$C$41,2,FALSE),"")</f>
        <v>4</v>
      </c>
      <c r="Q242">
        <f>_xlfn.IFNA(VLOOKUP($K242,Paramètres!$A$38:$C$41,3,FALSE),"")</f>
        <v>5</v>
      </c>
      <c r="R242">
        <v>134</v>
      </c>
      <c r="S242" t="b">
        <v>1</v>
      </c>
      <c r="T242">
        <v>4</v>
      </c>
      <c r="Y242" s="17"/>
      <c r="Z242" s="17"/>
      <c r="AA242" s="17"/>
      <c r="AB242" s="17"/>
    </row>
    <row r="243" spans="1:28" x14ac:dyDescent="0.3">
      <c r="A243" s="10" t="s">
        <v>518</v>
      </c>
      <c r="B243" s="10" t="s">
        <v>519</v>
      </c>
      <c r="C243" s="10" t="s">
        <v>52</v>
      </c>
      <c r="D243" s="15">
        <v>4414</v>
      </c>
      <c r="E243" s="17">
        <v>24.397355999999998</v>
      </c>
      <c r="F243" s="17">
        <v>102.3233147200477</v>
      </c>
      <c r="G243" s="17">
        <v>39.206149954314363</v>
      </c>
      <c r="H243" s="17">
        <v>31.890129234288889</v>
      </c>
      <c r="I243" s="17">
        <v>31.227035531444464</v>
      </c>
      <c r="J243" s="17">
        <v>0</v>
      </c>
      <c r="K243" s="12" t="s">
        <v>682</v>
      </c>
      <c r="L243" s="1">
        <f>VLOOKUP(K243,Paramètres!$A$18:$B$21,2,FALSE)</f>
        <v>0.21</v>
      </c>
      <c r="M243" s="1">
        <f>VLOOKUP($K243,Paramètres!$A$27:$D$30,2,FALSE)</f>
        <v>0.33</v>
      </c>
      <c r="N243" s="1">
        <f>VLOOKUP($K243,Paramètres!$A$27:$D$30,3,FALSE)</f>
        <v>0.35</v>
      </c>
      <c r="O243" s="1">
        <f>VLOOKUP($K243,Paramètres!$A$27:$D$30,4,FALSE)</f>
        <v>0.32</v>
      </c>
      <c r="P243">
        <f>_xlfn.IFNA(VLOOKUP($K243,Paramètres!$A$38:$C$41,2,FALSE),"")</f>
        <v>4</v>
      </c>
      <c r="Q243">
        <f>_xlfn.IFNA(VLOOKUP($K243,Paramètres!$A$38:$C$41,3,FALSE),"")</f>
        <v>5</v>
      </c>
      <c r="R243">
        <v>89</v>
      </c>
      <c r="S243" t="b">
        <v>0</v>
      </c>
      <c r="T243">
        <v>2</v>
      </c>
      <c r="Y243" s="17"/>
      <c r="Z243" s="17"/>
      <c r="AA243" s="17"/>
      <c r="AB243" s="17"/>
    </row>
    <row r="244" spans="1:28" x14ac:dyDescent="0.3">
      <c r="A244" s="10" t="s">
        <v>520</v>
      </c>
      <c r="B244" s="10" t="s">
        <v>521</v>
      </c>
      <c r="C244" s="10" t="s">
        <v>52</v>
      </c>
      <c r="D244" s="15">
        <v>56127</v>
      </c>
      <c r="E244" s="17">
        <v>33.007911</v>
      </c>
      <c r="F244" s="17">
        <v>360.888206853165</v>
      </c>
      <c r="G244" s="17">
        <v>80.455080908469256</v>
      </c>
      <c r="H244" s="17">
        <v>87.613601255607335</v>
      </c>
      <c r="I244" s="17">
        <v>87.051427061472481</v>
      </c>
      <c r="J244" s="17">
        <v>105.76809762761593</v>
      </c>
      <c r="K244" s="12" t="s">
        <v>683</v>
      </c>
      <c r="L244" s="1">
        <f>VLOOKUP(K244,Paramètres!$A$18:$B$21,2,FALSE)</f>
        <v>0.34</v>
      </c>
      <c r="M244" s="1">
        <f>VLOOKUP($K244,Paramètres!$A$27:$D$30,2,FALSE)</f>
        <v>0.37</v>
      </c>
      <c r="N244" s="1">
        <f>VLOOKUP($K244,Paramètres!$A$27:$D$30,3,FALSE)</f>
        <v>0.39</v>
      </c>
      <c r="O244" s="1">
        <f>VLOOKUP($K244,Paramètres!$A$27:$D$30,4,FALSE)</f>
        <v>0.24</v>
      </c>
      <c r="P244">
        <f>_xlfn.IFNA(VLOOKUP($K244,Paramètres!$A$38:$C$41,2,FALSE),"")</f>
        <v>2</v>
      </c>
      <c r="Q244">
        <f>_xlfn.IFNA(VLOOKUP($K244,Paramètres!$A$38:$C$41,3,FALSE),"")</f>
        <v>15</v>
      </c>
      <c r="R244">
        <v>787</v>
      </c>
      <c r="S244" t="b">
        <v>1</v>
      </c>
      <c r="T244">
        <v>21</v>
      </c>
      <c r="Y244" s="17"/>
      <c r="Z244" s="17"/>
      <c r="AA244" s="17"/>
      <c r="AB244" s="17"/>
    </row>
    <row r="245" spans="1:28" x14ac:dyDescent="0.3">
      <c r="A245" s="10" t="s">
        <v>522</v>
      </c>
      <c r="B245" s="10" t="s">
        <v>523</v>
      </c>
      <c r="C245" s="10" t="s">
        <v>52</v>
      </c>
      <c r="D245" s="15">
        <v>7853</v>
      </c>
      <c r="E245" s="17">
        <v>140.700863</v>
      </c>
      <c r="F245" s="17">
        <v>730.24426495214016</v>
      </c>
      <c r="G245" s="17">
        <v>602.35399589647432</v>
      </c>
      <c r="H245" s="17">
        <v>43.863406816486282</v>
      </c>
      <c r="I245" s="17">
        <v>67.182847798139946</v>
      </c>
      <c r="J245" s="17">
        <v>16.844014441039604</v>
      </c>
      <c r="K245" s="12" t="s">
        <v>682</v>
      </c>
      <c r="L245" s="1">
        <f>VLOOKUP(K245,Paramètres!$A$18:$B$21,2,FALSE)</f>
        <v>0.21</v>
      </c>
      <c r="M245" s="1">
        <f>VLOOKUP($K245,Paramètres!$A$27:$D$30,2,FALSE)</f>
        <v>0.33</v>
      </c>
      <c r="N245" s="1">
        <f>VLOOKUP($K245,Paramètres!$A$27:$D$30,3,FALSE)</f>
        <v>0.35</v>
      </c>
      <c r="O245" s="1">
        <f>VLOOKUP($K245,Paramètres!$A$27:$D$30,4,FALSE)</f>
        <v>0.32</v>
      </c>
      <c r="P245">
        <f>_xlfn.IFNA(VLOOKUP($K245,Paramètres!$A$38:$C$41,2,FALSE),"")</f>
        <v>4</v>
      </c>
      <c r="Q245">
        <f>_xlfn.IFNA(VLOOKUP($K245,Paramètres!$A$38:$C$41,3,FALSE),"")</f>
        <v>5</v>
      </c>
      <c r="R245">
        <v>316</v>
      </c>
      <c r="S245" t="b">
        <v>1</v>
      </c>
      <c r="T245">
        <v>9</v>
      </c>
      <c r="Y245" s="17"/>
      <c r="Z245" s="17"/>
      <c r="AA245" s="17"/>
      <c r="AB245" s="17"/>
    </row>
    <row r="246" spans="1:28" x14ac:dyDescent="0.3">
      <c r="A246" s="10" t="s">
        <v>524</v>
      </c>
      <c r="B246" s="10" t="s">
        <v>525</v>
      </c>
      <c r="C246" s="10" t="s">
        <v>52</v>
      </c>
      <c r="D246" s="15">
        <v>11059</v>
      </c>
      <c r="E246" s="17">
        <v>48.030889999999999</v>
      </c>
      <c r="F246" s="17">
        <v>239.58351242390404</v>
      </c>
      <c r="G246" s="17">
        <v>148.86953721572783</v>
      </c>
      <c r="H246" s="17">
        <v>13.847173211606844</v>
      </c>
      <c r="I246" s="17">
        <v>44.349591457879143</v>
      </c>
      <c r="J246" s="17">
        <v>32.517210538690236</v>
      </c>
      <c r="K246" s="12" t="s">
        <v>682</v>
      </c>
      <c r="L246" s="1">
        <f>VLOOKUP(K246,Paramètres!$A$18:$B$21,2,FALSE)</f>
        <v>0.21</v>
      </c>
      <c r="M246" s="1">
        <f>VLOOKUP($K246,Paramètres!$A$27:$D$30,2,FALSE)</f>
        <v>0.33</v>
      </c>
      <c r="N246" s="1">
        <f>VLOOKUP($K246,Paramètres!$A$27:$D$30,3,FALSE)</f>
        <v>0.35</v>
      </c>
      <c r="O246" s="1">
        <f>VLOOKUP($K246,Paramètres!$A$27:$D$30,4,FALSE)</f>
        <v>0.32</v>
      </c>
      <c r="P246">
        <f>_xlfn.IFNA(VLOOKUP($K246,Paramètres!$A$38:$C$41,2,FALSE),"")</f>
        <v>4</v>
      </c>
      <c r="Q246">
        <f>_xlfn.IFNA(VLOOKUP($K246,Paramètres!$A$38:$C$41,3,FALSE),"")</f>
        <v>5</v>
      </c>
      <c r="R246">
        <v>132</v>
      </c>
      <c r="S246" t="b">
        <v>0</v>
      </c>
      <c r="T246">
        <v>4</v>
      </c>
      <c r="Y246" s="17"/>
      <c r="Z246" s="17"/>
      <c r="AA246" s="17"/>
      <c r="AB246" s="17"/>
    </row>
    <row r="247" spans="1:28" x14ac:dyDescent="0.3">
      <c r="A247" s="10" t="s">
        <v>526</v>
      </c>
      <c r="B247" s="10" t="s">
        <v>527</v>
      </c>
      <c r="C247" s="10" t="s">
        <v>52</v>
      </c>
      <c r="D247" s="15">
        <v>6869</v>
      </c>
      <c r="E247" s="17">
        <v>32.863746999999996</v>
      </c>
      <c r="F247" s="17">
        <v>168.33432061385312</v>
      </c>
      <c r="G247" s="17">
        <v>93.677342944363232</v>
      </c>
      <c r="H247" s="17">
        <v>22.044327486387449</v>
      </c>
      <c r="I247" s="17">
        <v>46.039768311396145</v>
      </c>
      <c r="J247" s="17">
        <v>6.5728818717062838</v>
      </c>
      <c r="K247" s="12" t="s">
        <v>682</v>
      </c>
      <c r="L247" s="1">
        <f>VLOOKUP(K247,Paramètres!$A$18:$B$21,2,FALSE)</f>
        <v>0.21</v>
      </c>
      <c r="M247" s="1">
        <f>VLOOKUP($K247,Paramètres!$A$27:$D$30,2,FALSE)</f>
        <v>0.33</v>
      </c>
      <c r="N247" s="1">
        <f>VLOOKUP($K247,Paramètres!$A$27:$D$30,3,FALSE)</f>
        <v>0.35</v>
      </c>
      <c r="O247" s="1">
        <f>VLOOKUP($K247,Paramètres!$A$27:$D$30,4,FALSE)</f>
        <v>0.32</v>
      </c>
      <c r="P247">
        <f>_xlfn.IFNA(VLOOKUP($K247,Paramètres!$A$38:$C$41,2,FALSE),"")</f>
        <v>4</v>
      </c>
      <c r="Q247">
        <f>_xlfn.IFNA(VLOOKUP($K247,Paramètres!$A$38:$C$41,3,FALSE),"")</f>
        <v>5</v>
      </c>
      <c r="R247">
        <v>141</v>
      </c>
      <c r="S247" t="b">
        <v>0</v>
      </c>
      <c r="T247">
        <v>4</v>
      </c>
      <c r="Y247" s="17"/>
      <c r="Z247" s="17"/>
      <c r="AA247" s="17"/>
      <c r="AB247" s="17"/>
    </row>
    <row r="248" spans="1:28" x14ac:dyDescent="0.3">
      <c r="A248" s="10" t="s">
        <v>528</v>
      </c>
      <c r="B248" s="10" t="s">
        <v>529</v>
      </c>
      <c r="C248" s="10" t="s">
        <v>52</v>
      </c>
      <c r="D248" s="15">
        <v>5616</v>
      </c>
      <c r="E248" s="17">
        <v>121.21653000000001</v>
      </c>
      <c r="F248" s="17">
        <v>448.39597732776446</v>
      </c>
      <c r="G248" s="17">
        <v>382.41545522907842</v>
      </c>
      <c r="H248" s="17">
        <v>25.512568525171488</v>
      </c>
      <c r="I248" s="17">
        <v>31.006564610069805</v>
      </c>
      <c r="J248" s="17">
        <v>9.4613889634447865</v>
      </c>
      <c r="K248" s="12" t="s">
        <v>681</v>
      </c>
      <c r="L248" s="1">
        <f>VLOOKUP(K248,Paramètres!$A$18:$B$21,2,FALSE)</f>
        <v>0.34</v>
      </c>
      <c r="M248" s="1">
        <f>VLOOKUP($K248,Paramètres!$A$27:$D$30,2,FALSE)</f>
        <v>0.26</v>
      </c>
      <c r="N248" s="1">
        <f>VLOOKUP($K248,Paramètres!$A$27:$D$30,3,FALSE)</f>
        <v>0.33</v>
      </c>
      <c r="O248" s="1">
        <f>VLOOKUP($K248,Paramètres!$A$27:$D$30,4,FALSE)</f>
        <v>0.41</v>
      </c>
      <c r="P248">
        <f>_xlfn.IFNA(VLOOKUP($K248,Paramètres!$A$38:$C$41,2,FALSE),"")</f>
        <v>3</v>
      </c>
      <c r="Q248">
        <f>_xlfn.IFNA(VLOOKUP($K248,Paramètres!$A$38:$C$41,3,FALSE),"")</f>
        <v>5</v>
      </c>
      <c r="R248">
        <v>116</v>
      </c>
      <c r="S248" t="b">
        <v>0</v>
      </c>
      <c r="T248">
        <v>3</v>
      </c>
      <c r="Y248" s="17"/>
      <c r="Z248" s="17"/>
      <c r="AA248" s="17"/>
      <c r="AB248" s="17"/>
    </row>
    <row r="249" spans="1:28" x14ac:dyDescent="0.3">
      <c r="A249" s="10" t="s">
        <v>530</v>
      </c>
      <c r="B249" s="10" t="s">
        <v>531</v>
      </c>
      <c r="C249" s="10" t="s">
        <v>52</v>
      </c>
      <c r="D249" s="15">
        <v>11466</v>
      </c>
      <c r="E249" s="17">
        <v>95.625236000000001</v>
      </c>
      <c r="F249" s="17">
        <v>509.39384288874282</v>
      </c>
      <c r="G249" s="17">
        <v>425.19709827164485</v>
      </c>
      <c r="H249" s="17">
        <v>1.1425355678988576</v>
      </c>
      <c r="I249" s="17">
        <v>29.194639284084673</v>
      </c>
      <c r="J249" s="17">
        <v>53.859569765114514</v>
      </c>
      <c r="K249" s="12" t="s">
        <v>682</v>
      </c>
      <c r="L249" s="1">
        <f>VLOOKUP(K249,Paramètres!$A$18:$B$21,2,FALSE)</f>
        <v>0.21</v>
      </c>
      <c r="M249" s="1">
        <f>VLOOKUP($K249,Paramètres!$A$27:$D$30,2,FALSE)</f>
        <v>0.33</v>
      </c>
      <c r="N249" s="1">
        <f>VLOOKUP($K249,Paramètres!$A$27:$D$30,3,FALSE)</f>
        <v>0.35</v>
      </c>
      <c r="O249" s="1">
        <f>VLOOKUP($K249,Paramètres!$A$27:$D$30,4,FALSE)</f>
        <v>0.32</v>
      </c>
      <c r="P249">
        <f>_xlfn.IFNA(VLOOKUP($K249,Paramètres!$A$38:$C$41,2,FALSE),"")</f>
        <v>4</v>
      </c>
      <c r="Q249">
        <f>_xlfn.IFNA(VLOOKUP($K249,Paramètres!$A$38:$C$41,3,FALSE),"")</f>
        <v>5</v>
      </c>
      <c r="R249">
        <v>196</v>
      </c>
      <c r="S249" t="b">
        <v>1</v>
      </c>
      <c r="T249">
        <v>5</v>
      </c>
      <c r="Y249" s="17"/>
      <c r="Z249" s="17"/>
      <c r="AA249" s="17"/>
      <c r="AB249" s="17"/>
    </row>
    <row r="250" spans="1:28" x14ac:dyDescent="0.3">
      <c r="A250" s="10" t="s">
        <v>735</v>
      </c>
      <c r="B250" s="10" t="s">
        <v>532</v>
      </c>
      <c r="C250" s="10" t="s">
        <v>52</v>
      </c>
      <c r="D250" s="15">
        <v>18110</v>
      </c>
      <c r="E250" s="17">
        <v>27.727916</v>
      </c>
      <c r="F250" s="17">
        <v>252.01186979690044</v>
      </c>
      <c r="G250" s="17">
        <v>104.84391810881974</v>
      </c>
      <c r="H250" s="17">
        <v>50.438759584349974</v>
      </c>
      <c r="I250" s="17">
        <v>27.474903957852263</v>
      </c>
      <c r="J250" s="17">
        <v>69.25428814587849</v>
      </c>
      <c r="K250" s="12" t="s">
        <v>681</v>
      </c>
      <c r="L250" s="70">
        <f>VLOOKUP(K250,Paramètres!$A$18:$B$21,2,FALSE)</f>
        <v>0.34</v>
      </c>
      <c r="M250" s="70">
        <f>VLOOKUP($K250,Paramètres!$A$27:$D$30,2,FALSE)</f>
        <v>0.26</v>
      </c>
      <c r="N250" s="70">
        <f>VLOOKUP($K250,Paramètres!$A$27:$D$30,3,FALSE)</f>
        <v>0.33</v>
      </c>
      <c r="O250" s="70">
        <f>VLOOKUP($K250,Paramètres!$A$27:$D$30,4,FALSE)</f>
        <v>0.41</v>
      </c>
      <c r="P250">
        <f>_xlfn.IFNA(VLOOKUP($K250,Paramètres!$A$38:$C$41,2,FALSE),"")</f>
        <v>3</v>
      </c>
      <c r="Q250">
        <f>_xlfn.IFNA(VLOOKUP($K250,Paramètres!$A$38:$C$41,3,FALSE),"")</f>
        <v>5</v>
      </c>
      <c r="R250">
        <v>292</v>
      </c>
      <c r="S250" t="b">
        <v>1</v>
      </c>
      <c r="T250">
        <v>8</v>
      </c>
      <c r="Y250" s="17"/>
      <c r="Z250" s="17"/>
      <c r="AA250" s="17"/>
      <c r="AB250" s="17"/>
    </row>
    <row r="251" spans="1:28" x14ac:dyDescent="0.3">
      <c r="A251" s="10" t="s">
        <v>533</v>
      </c>
      <c r="B251" s="10" t="s">
        <v>534</v>
      </c>
      <c r="C251" s="10" t="s">
        <v>52</v>
      </c>
      <c r="D251" s="15">
        <v>2549</v>
      </c>
      <c r="E251" s="17">
        <v>101.405519</v>
      </c>
      <c r="F251" s="17">
        <v>623.89396073086436</v>
      </c>
      <c r="G251" s="17">
        <v>575.03754563069651</v>
      </c>
      <c r="H251" s="17">
        <v>30.334833645469217</v>
      </c>
      <c r="I251" s="17">
        <v>18.521581454698637</v>
      </c>
      <c r="J251" s="17">
        <v>0</v>
      </c>
      <c r="K251" s="12" t="s">
        <v>681</v>
      </c>
      <c r="L251" s="1">
        <f>VLOOKUP(K251,Paramètres!$A$18:$B$21,2,FALSE)</f>
        <v>0.34</v>
      </c>
      <c r="M251" s="1">
        <f>VLOOKUP($K251,Paramètres!$A$27:$D$30,2,FALSE)</f>
        <v>0.26</v>
      </c>
      <c r="N251" s="1">
        <f>VLOOKUP($K251,Paramètres!$A$27:$D$30,3,FALSE)</f>
        <v>0.33</v>
      </c>
      <c r="O251" s="1">
        <f>VLOOKUP($K251,Paramètres!$A$27:$D$30,4,FALSE)</f>
        <v>0.41</v>
      </c>
      <c r="P251">
        <f>_xlfn.IFNA(VLOOKUP($K251,Paramètres!$A$38:$C$41,2,FALSE),"")</f>
        <v>3</v>
      </c>
      <c r="Q251">
        <f>_xlfn.IFNA(VLOOKUP($K251,Paramètres!$A$38:$C$41,3,FALSE),"")</f>
        <v>5</v>
      </c>
      <c r="R251">
        <v>186</v>
      </c>
      <c r="S251" t="b">
        <v>1</v>
      </c>
      <c r="T251">
        <v>5</v>
      </c>
      <c r="Y251" s="17"/>
      <c r="Z251" s="17"/>
      <c r="AA251" s="17"/>
      <c r="AB251" s="17"/>
    </row>
    <row r="252" spans="1:28" x14ac:dyDescent="0.3">
      <c r="A252" s="10" t="s">
        <v>535</v>
      </c>
      <c r="B252" s="10" t="s">
        <v>536</v>
      </c>
      <c r="C252" s="10" t="s">
        <v>52</v>
      </c>
      <c r="D252" s="15">
        <v>7560</v>
      </c>
      <c r="E252" s="17">
        <v>97.555542000000003</v>
      </c>
      <c r="F252" s="17">
        <v>409.27333174455447</v>
      </c>
      <c r="G252" s="17">
        <v>301.71910614372212</v>
      </c>
      <c r="H252" s="17">
        <v>59.501704643494975</v>
      </c>
      <c r="I252" s="17">
        <v>48.052520957337371</v>
      </c>
      <c r="J252" s="17">
        <v>0</v>
      </c>
      <c r="K252" s="12" t="s">
        <v>682</v>
      </c>
      <c r="L252" s="1">
        <f>VLOOKUP(K252,Paramètres!$A$18:$B$21,2,FALSE)</f>
        <v>0.21</v>
      </c>
      <c r="M252" s="1">
        <f>VLOOKUP($K252,Paramètres!$A$27:$D$30,2,FALSE)</f>
        <v>0.33</v>
      </c>
      <c r="N252" s="1">
        <f>VLOOKUP($K252,Paramètres!$A$27:$D$30,3,FALSE)</f>
        <v>0.35</v>
      </c>
      <c r="O252" s="1">
        <f>VLOOKUP($K252,Paramètres!$A$27:$D$30,4,FALSE)</f>
        <v>0.32</v>
      </c>
      <c r="P252">
        <f>_xlfn.IFNA(VLOOKUP($K252,Paramètres!$A$38:$C$41,2,FALSE),"")</f>
        <v>4</v>
      </c>
      <c r="Q252">
        <f>_xlfn.IFNA(VLOOKUP($K252,Paramètres!$A$38:$C$41,3,FALSE),"")</f>
        <v>5</v>
      </c>
      <c r="R252">
        <v>186</v>
      </c>
      <c r="S252" t="b">
        <v>0</v>
      </c>
      <c r="T252">
        <v>5</v>
      </c>
      <c r="Y252" s="17"/>
      <c r="Z252" s="17"/>
      <c r="AA252" s="17"/>
      <c r="AB252" s="17"/>
    </row>
    <row r="253" spans="1:28" x14ac:dyDescent="0.3">
      <c r="A253" s="10" t="s">
        <v>537</v>
      </c>
      <c r="B253" s="10" t="s">
        <v>538</v>
      </c>
      <c r="C253" s="10" t="s">
        <v>52</v>
      </c>
      <c r="D253" s="15">
        <v>18353</v>
      </c>
      <c r="E253" s="17">
        <v>123.642422</v>
      </c>
      <c r="F253" s="17">
        <v>470.69403031689166</v>
      </c>
      <c r="G253" s="17">
        <v>266.43826883704077</v>
      </c>
      <c r="H253" s="17">
        <v>66.261273775456374</v>
      </c>
      <c r="I253" s="17">
        <v>56.034540935600582</v>
      </c>
      <c r="J253" s="17">
        <v>81.959946768793927</v>
      </c>
      <c r="K253" s="12" t="s">
        <v>682</v>
      </c>
      <c r="L253" s="1">
        <f>VLOOKUP(K253,Paramètres!$A$18:$B$21,2,FALSE)</f>
        <v>0.21</v>
      </c>
      <c r="M253" s="1">
        <f>VLOOKUP($K253,Paramètres!$A$27:$D$30,2,FALSE)</f>
        <v>0.33</v>
      </c>
      <c r="N253" s="1">
        <f>VLOOKUP($K253,Paramètres!$A$27:$D$30,3,FALSE)</f>
        <v>0.35</v>
      </c>
      <c r="O253" s="1">
        <f>VLOOKUP($K253,Paramètres!$A$27:$D$30,4,FALSE)</f>
        <v>0.32</v>
      </c>
      <c r="P253">
        <f>_xlfn.IFNA(VLOOKUP($K253,Paramètres!$A$38:$C$41,2,FALSE),"")</f>
        <v>4</v>
      </c>
      <c r="Q253">
        <f>_xlfn.IFNA(VLOOKUP($K253,Paramètres!$A$38:$C$41,3,FALSE),"")</f>
        <v>5</v>
      </c>
      <c r="R253">
        <v>196</v>
      </c>
      <c r="S253" t="b">
        <v>0</v>
      </c>
      <c r="T253">
        <v>5</v>
      </c>
      <c r="Y253" s="17"/>
      <c r="Z253" s="17"/>
      <c r="AA253" s="17"/>
      <c r="AB253" s="17"/>
    </row>
    <row r="254" spans="1:28" x14ac:dyDescent="0.3">
      <c r="A254" s="10" t="s">
        <v>539</v>
      </c>
      <c r="B254" s="10" t="s">
        <v>540</v>
      </c>
      <c r="C254" s="10" t="s">
        <v>52</v>
      </c>
      <c r="D254" s="15">
        <v>7556</v>
      </c>
      <c r="E254" s="17">
        <v>38.080727000000003</v>
      </c>
      <c r="F254" s="17">
        <v>161.312579408517</v>
      </c>
      <c r="G254" s="17">
        <v>81.427816558208164</v>
      </c>
      <c r="H254" s="17">
        <v>26.351691203304924</v>
      </c>
      <c r="I254" s="17">
        <v>37.876957803502513</v>
      </c>
      <c r="J254" s="17">
        <v>15.656113843501398</v>
      </c>
      <c r="K254" s="12" t="s">
        <v>682</v>
      </c>
      <c r="L254" s="1">
        <f>VLOOKUP(K254,Paramètres!$A$18:$B$21,2,FALSE)</f>
        <v>0.21</v>
      </c>
      <c r="M254" s="1">
        <f>VLOOKUP($K254,Paramètres!$A$27:$D$30,2,FALSE)</f>
        <v>0.33</v>
      </c>
      <c r="N254" s="1">
        <f>VLOOKUP($K254,Paramètres!$A$27:$D$30,3,FALSE)</f>
        <v>0.35</v>
      </c>
      <c r="O254" s="1">
        <f>VLOOKUP($K254,Paramètres!$A$27:$D$30,4,FALSE)</f>
        <v>0.32</v>
      </c>
      <c r="P254">
        <f>_xlfn.IFNA(VLOOKUP($K254,Paramètres!$A$38:$C$41,2,FALSE),"")</f>
        <v>4</v>
      </c>
      <c r="Q254">
        <f>_xlfn.IFNA(VLOOKUP($K254,Paramètres!$A$38:$C$41,3,FALSE),"")</f>
        <v>5</v>
      </c>
      <c r="R254">
        <v>109</v>
      </c>
      <c r="S254" t="b">
        <v>0</v>
      </c>
      <c r="T254">
        <v>3</v>
      </c>
      <c r="Y254" s="17"/>
      <c r="Z254" s="17"/>
      <c r="AA254" s="17"/>
      <c r="AB254" s="17"/>
    </row>
    <row r="255" spans="1:28" x14ac:dyDescent="0.3">
      <c r="A255" s="10" t="s">
        <v>541</v>
      </c>
      <c r="B255" s="10" t="s">
        <v>542</v>
      </c>
      <c r="C255" s="10" t="s">
        <v>52</v>
      </c>
      <c r="D255" s="15">
        <v>14005</v>
      </c>
      <c r="E255" s="17">
        <v>44.035193999999997</v>
      </c>
      <c r="F255" s="17">
        <v>283.99065590611605</v>
      </c>
      <c r="G255" s="17">
        <v>99.16050806313352</v>
      </c>
      <c r="H255" s="17">
        <v>83.225797192901908</v>
      </c>
      <c r="I255" s="17">
        <v>60.857626750997333</v>
      </c>
      <c r="J255" s="17">
        <v>40.746723899083278</v>
      </c>
      <c r="K255" s="12" t="s">
        <v>682</v>
      </c>
      <c r="L255" s="1">
        <f>VLOOKUP(K255,Paramètres!$A$18:$B$21,2,FALSE)</f>
        <v>0.21</v>
      </c>
      <c r="M255" s="1">
        <f>VLOOKUP($K255,Paramètres!$A$27:$D$30,2,FALSE)</f>
        <v>0.33</v>
      </c>
      <c r="N255" s="1">
        <f>VLOOKUP($K255,Paramètres!$A$27:$D$30,3,FALSE)</f>
        <v>0.35</v>
      </c>
      <c r="O255" s="1">
        <f>VLOOKUP($K255,Paramètres!$A$27:$D$30,4,FALSE)</f>
        <v>0.32</v>
      </c>
      <c r="P255">
        <f>_xlfn.IFNA(VLOOKUP($K255,Paramètres!$A$38:$C$41,2,FALSE),"")</f>
        <v>4</v>
      </c>
      <c r="Q255">
        <f>_xlfn.IFNA(VLOOKUP($K255,Paramètres!$A$38:$C$41,3,FALSE),"")</f>
        <v>5</v>
      </c>
      <c r="R255">
        <v>166</v>
      </c>
      <c r="S255" t="b">
        <v>0</v>
      </c>
      <c r="T255">
        <v>4</v>
      </c>
      <c r="Y255" s="17"/>
      <c r="Z255" s="17"/>
      <c r="AA255" s="17"/>
      <c r="AB255" s="17"/>
    </row>
    <row r="256" spans="1:28" x14ac:dyDescent="0.3">
      <c r="A256" s="10" t="s">
        <v>543</v>
      </c>
      <c r="B256" s="10" t="s">
        <v>544</v>
      </c>
      <c r="C256" s="10" t="s">
        <v>52</v>
      </c>
      <c r="D256" s="15">
        <v>15366</v>
      </c>
      <c r="E256" s="17">
        <v>30.890073999999998</v>
      </c>
      <c r="F256" s="17">
        <v>172.21584601951884</v>
      </c>
      <c r="G256" s="17">
        <v>82.025725899268934</v>
      </c>
      <c r="H256" s="17">
        <v>15.73293470099787</v>
      </c>
      <c r="I256" s="17">
        <v>31.149159095499336</v>
      </c>
      <c r="J256" s="17">
        <v>43.308026323752721</v>
      </c>
      <c r="K256" s="12" t="s">
        <v>681</v>
      </c>
      <c r="L256" s="1">
        <f>VLOOKUP(K256,Paramètres!$A$18:$B$21,2,FALSE)</f>
        <v>0.34</v>
      </c>
      <c r="M256" s="1">
        <f>VLOOKUP($K256,Paramètres!$A$27:$D$30,2,FALSE)</f>
        <v>0.26</v>
      </c>
      <c r="N256" s="1">
        <f>VLOOKUP($K256,Paramètres!$A$27:$D$30,3,FALSE)</f>
        <v>0.33</v>
      </c>
      <c r="O256" s="1">
        <f>VLOOKUP($K256,Paramètres!$A$27:$D$30,4,FALSE)</f>
        <v>0.41</v>
      </c>
      <c r="P256">
        <f>_xlfn.IFNA(VLOOKUP($K256,Paramètres!$A$38:$C$41,2,FALSE),"")</f>
        <v>3</v>
      </c>
      <c r="Q256">
        <f>_xlfn.IFNA(VLOOKUP($K256,Paramètres!$A$38:$C$41,3,FALSE),"")</f>
        <v>5</v>
      </c>
      <c r="R256">
        <v>224</v>
      </c>
      <c r="S256" t="b">
        <v>1</v>
      </c>
      <c r="T256">
        <v>6</v>
      </c>
      <c r="Y256" s="17"/>
      <c r="Z256" s="17"/>
      <c r="AA256" s="17"/>
      <c r="AB256" s="17"/>
    </row>
    <row r="257" spans="1:28" x14ac:dyDescent="0.3">
      <c r="A257" s="10" t="s">
        <v>545</v>
      </c>
      <c r="B257" s="10" t="s">
        <v>546</v>
      </c>
      <c r="C257" s="10" t="s">
        <v>52</v>
      </c>
      <c r="D257" s="15">
        <v>3187</v>
      </c>
      <c r="E257" s="17">
        <v>24.480692999999999</v>
      </c>
      <c r="F257" s="17">
        <v>88.06226464807402</v>
      </c>
      <c r="G257" s="17">
        <v>60.233342252714102</v>
      </c>
      <c r="H257" s="17">
        <v>1.3814737322578696</v>
      </c>
      <c r="I257" s="17">
        <v>26.447448663102048</v>
      </c>
      <c r="J257" s="17">
        <v>0</v>
      </c>
      <c r="K257" s="12" t="s">
        <v>682</v>
      </c>
      <c r="L257" s="1">
        <f>VLOOKUP(K257,Paramètres!$A$18:$B$21,2,FALSE)</f>
        <v>0.21</v>
      </c>
      <c r="M257" s="1">
        <f>VLOOKUP($K257,Paramètres!$A$27:$D$30,2,FALSE)</f>
        <v>0.33</v>
      </c>
      <c r="N257" s="1">
        <f>VLOOKUP($K257,Paramètres!$A$27:$D$30,3,FALSE)</f>
        <v>0.35</v>
      </c>
      <c r="O257" s="1">
        <f>VLOOKUP($K257,Paramètres!$A$27:$D$30,4,FALSE)</f>
        <v>0.32</v>
      </c>
      <c r="P257">
        <f>_xlfn.IFNA(VLOOKUP($K257,Paramètres!$A$38:$C$41,2,FALSE),"")</f>
        <v>4</v>
      </c>
      <c r="Q257">
        <f>_xlfn.IFNA(VLOOKUP($K257,Paramètres!$A$38:$C$41,3,FALSE),"")</f>
        <v>5</v>
      </c>
      <c r="R257">
        <v>73</v>
      </c>
      <c r="S257" t="b">
        <v>0</v>
      </c>
      <c r="T257">
        <v>2</v>
      </c>
      <c r="Y257" s="17"/>
      <c r="Z257" s="17"/>
      <c r="AA257" s="17"/>
      <c r="AB257" s="17"/>
    </row>
    <row r="258" spans="1:28" x14ac:dyDescent="0.3">
      <c r="A258" s="10" t="s">
        <v>547</v>
      </c>
      <c r="B258" s="10" t="s">
        <v>548</v>
      </c>
      <c r="C258" s="10" t="s">
        <v>52</v>
      </c>
      <c r="D258" s="15">
        <v>30389</v>
      </c>
      <c r="E258" s="17">
        <v>21.324413</v>
      </c>
      <c r="F258" s="17">
        <v>248.66271824764289</v>
      </c>
      <c r="G258" s="17">
        <v>58.639193926079088</v>
      </c>
      <c r="H258" s="17">
        <v>0</v>
      </c>
      <c r="I258" s="17">
        <v>61.597918861943661</v>
      </c>
      <c r="J258" s="17">
        <v>128.42560545962013</v>
      </c>
      <c r="K258" s="12" t="s">
        <v>681</v>
      </c>
      <c r="L258" s="1">
        <f>VLOOKUP(K258,Paramètres!$A$18:$B$21,2,FALSE)</f>
        <v>0.34</v>
      </c>
      <c r="M258" s="1">
        <f>VLOOKUP($K258,Paramètres!$A$27:$D$30,2,FALSE)</f>
        <v>0.26</v>
      </c>
      <c r="N258" s="1">
        <f>VLOOKUP($K258,Paramètres!$A$27:$D$30,3,FALSE)</f>
        <v>0.33</v>
      </c>
      <c r="O258" s="1">
        <f>VLOOKUP($K258,Paramètres!$A$27:$D$30,4,FALSE)</f>
        <v>0.41</v>
      </c>
      <c r="P258">
        <f>_xlfn.IFNA(VLOOKUP($K258,Paramètres!$A$38:$C$41,2,FALSE),"")</f>
        <v>3</v>
      </c>
      <c r="Q258">
        <f>_xlfn.IFNA(VLOOKUP($K258,Paramètres!$A$38:$C$41,3,FALSE),"")</f>
        <v>5</v>
      </c>
      <c r="R258">
        <v>426</v>
      </c>
      <c r="S258" t="b">
        <v>1</v>
      </c>
      <c r="T258">
        <v>12</v>
      </c>
      <c r="Y258" s="17"/>
      <c r="Z258" s="17"/>
      <c r="AA258" s="17"/>
      <c r="AB258" s="17"/>
    </row>
    <row r="259" spans="1:28" x14ac:dyDescent="0.3">
      <c r="A259" s="10" t="s">
        <v>549</v>
      </c>
      <c r="B259" s="10" t="s">
        <v>550</v>
      </c>
      <c r="C259" s="10" t="s">
        <v>52</v>
      </c>
      <c r="D259" s="15">
        <v>35581</v>
      </c>
      <c r="E259" s="17">
        <v>42.113729999999997</v>
      </c>
      <c r="F259" s="17">
        <v>423.40539249395954</v>
      </c>
      <c r="G259" s="17">
        <v>115.29322629081443</v>
      </c>
      <c r="H259" s="17">
        <v>109.0454982668399</v>
      </c>
      <c r="I259" s="17">
        <v>121.16078541302616</v>
      </c>
      <c r="J259" s="17">
        <v>77.905882523279075</v>
      </c>
      <c r="K259" s="12" t="s">
        <v>681</v>
      </c>
      <c r="L259" s="1">
        <f>VLOOKUP(K259,Paramètres!$A$18:$B$21,2,FALSE)</f>
        <v>0.34</v>
      </c>
      <c r="M259" s="1">
        <f>VLOOKUP($K259,Paramètres!$A$27:$D$30,2,FALSE)</f>
        <v>0.26</v>
      </c>
      <c r="N259" s="1">
        <f>VLOOKUP($K259,Paramètres!$A$27:$D$30,3,FALSE)</f>
        <v>0.33</v>
      </c>
      <c r="O259" s="1">
        <f>VLOOKUP($K259,Paramètres!$A$27:$D$30,4,FALSE)</f>
        <v>0.41</v>
      </c>
      <c r="P259">
        <f>_xlfn.IFNA(VLOOKUP($K259,Paramètres!$A$38:$C$41,2,FALSE),"")</f>
        <v>3</v>
      </c>
      <c r="Q259">
        <f>_xlfn.IFNA(VLOOKUP($K259,Paramètres!$A$38:$C$41,3,FALSE),"")</f>
        <v>5</v>
      </c>
      <c r="R259">
        <v>393</v>
      </c>
      <c r="S259" t="b">
        <v>0</v>
      </c>
      <c r="T259">
        <v>11</v>
      </c>
      <c r="Y259" s="17"/>
      <c r="Z259" s="17"/>
      <c r="AA259" s="17"/>
      <c r="AB259" s="17"/>
    </row>
    <row r="260" spans="1:28" x14ac:dyDescent="0.3">
      <c r="A260" s="10" t="s">
        <v>551</v>
      </c>
      <c r="B260" s="10" t="s">
        <v>552</v>
      </c>
      <c r="C260" s="10" t="s">
        <v>52</v>
      </c>
      <c r="D260" s="15">
        <v>10521</v>
      </c>
      <c r="E260" s="17">
        <v>24.721323999999999</v>
      </c>
      <c r="F260" s="17">
        <v>139.55849835557498</v>
      </c>
      <c r="G260" s="17">
        <v>13.597709267156736</v>
      </c>
      <c r="H260" s="17">
        <v>88.505558869428683</v>
      </c>
      <c r="I260" s="17">
        <v>8.3644693698161507</v>
      </c>
      <c r="J260" s="17">
        <v>29.090760849173407</v>
      </c>
      <c r="K260" s="12" t="s">
        <v>682</v>
      </c>
      <c r="L260" s="1">
        <f>VLOOKUP(K260,Paramètres!$A$18:$B$21,2,FALSE)</f>
        <v>0.21</v>
      </c>
      <c r="M260" s="1">
        <f>VLOOKUP($K260,Paramètres!$A$27:$D$30,2,FALSE)</f>
        <v>0.33</v>
      </c>
      <c r="N260" s="1">
        <f>VLOOKUP($K260,Paramètres!$A$27:$D$30,3,FALSE)</f>
        <v>0.35</v>
      </c>
      <c r="O260" s="1">
        <f>VLOOKUP($K260,Paramètres!$A$27:$D$30,4,FALSE)</f>
        <v>0.32</v>
      </c>
      <c r="P260">
        <f>_xlfn.IFNA(VLOOKUP($K260,Paramètres!$A$38:$C$41,2,FALSE),"")</f>
        <v>4</v>
      </c>
      <c r="Q260">
        <f>_xlfn.IFNA(VLOOKUP($K260,Paramètres!$A$38:$C$41,3,FALSE),"")</f>
        <v>5</v>
      </c>
      <c r="R260">
        <v>149</v>
      </c>
      <c r="S260" t="b">
        <v>0</v>
      </c>
      <c r="T260">
        <v>4</v>
      </c>
      <c r="Y260" s="17"/>
      <c r="Z260" s="17"/>
      <c r="AA260" s="17"/>
      <c r="AB260" s="17"/>
    </row>
    <row r="261" spans="1:28" x14ac:dyDescent="0.3">
      <c r="A261" s="10" t="s">
        <v>553</v>
      </c>
      <c r="B261" s="10" t="s">
        <v>554</v>
      </c>
      <c r="C261" s="10" t="s">
        <v>52</v>
      </c>
      <c r="D261" s="15">
        <v>3207</v>
      </c>
      <c r="E261" s="17">
        <v>67.864694</v>
      </c>
      <c r="F261" s="17">
        <v>321.47470284009592</v>
      </c>
      <c r="G261" s="17">
        <v>266.17797528084276</v>
      </c>
      <c r="H261" s="17">
        <v>24.905654320061103</v>
      </c>
      <c r="I261" s="17">
        <v>26.307524329623284</v>
      </c>
      <c r="J261" s="17">
        <v>4.0835489095687594</v>
      </c>
      <c r="K261" s="12" t="s">
        <v>682</v>
      </c>
      <c r="L261" s="1">
        <f>VLOOKUP(K261,Paramètres!$A$18:$B$21,2,FALSE)</f>
        <v>0.21</v>
      </c>
      <c r="M261" s="1">
        <f>VLOOKUP($K261,Paramètres!$A$27:$D$30,2,FALSE)</f>
        <v>0.33</v>
      </c>
      <c r="N261" s="1">
        <f>VLOOKUP($K261,Paramètres!$A$27:$D$30,3,FALSE)</f>
        <v>0.35</v>
      </c>
      <c r="O261" s="1">
        <f>VLOOKUP($K261,Paramètres!$A$27:$D$30,4,FALSE)</f>
        <v>0.32</v>
      </c>
      <c r="P261">
        <f>_xlfn.IFNA(VLOOKUP($K261,Paramètres!$A$38:$C$41,2,FALSE),"")</f>
        <v>4</v>
      </c>
      <c r="Q261">
        <f>_xlfn.IFNA(VLOOKUP($K261,Paramètres!$A$38:$C$41,3,FALSE),"")</f>
        <v>5</v>
      </c>
      <c r="R261">
        <v>63</v>
      </c>
      <c r="S261" t="b">
        <v>1</v>
      </c>
      <c r="T261">
        <v>2</v>
      </c>
      <c r="Y261" s="17"/>
      <c r="Z261" s="17"/>
      <c r="AA261" s="17"/>
      <c r="AB261" s="17"/>
    </row>
    <row r="262" spans="1:28" x14ac:dyDescent="0.3">
      <c r="A262" s="10" t="s">
        <v>555</v>
      </c>
      <c r="B262" s="10" t="s">
        <v>556</v>
      </c>
      <c r="C262" s="10" t="s">
        <v>52</v>
      </c>
      <c r="D262" s="15">
        <v>9210</v>
      </c>
      <c r="E262" s="17">
        <v>57.105625000000003</v>
      </c>
      <c r="F262" s="17">
        <v>326.70127272586529</v>
      </c>
      <c r="G262" s="17">
        <v>223.44251448840481</v>
      </c>
      <c r="H262" s="17">
        <v>2.0897018788470243</v>
      </c>
      <c r="I262" s="17">
        <v>80.14379934934469</v>
      </c>
      <c r="J262" s="17">
        <v>21.025257009268799</v>
      </c>
      <c r="K262" s="12" t="s">
        <v>682</v>
      </c>
      <c r="L262" s="1">
        <f>VLOOKUP(K262,Paramètres!$A$18:$B$21,2,FALSE)</f>
        <v>0.21</v>
      </c>
      <c r="M262" s="1">
        <f>VLOOKUP($K262,Paramètres!$A$27:$D$30,2,FALSE)</f>
        <v>0.33</v>
      </c>
      <c r="N262" s="1">
        <f>VLOOKUP($K262,Paramètres!$A$27:$D$30,3,FALSE)</f>
        <v>0.35</v>
      </c>
      <c r="O262" s="1">
        <f>VLOOKUP($K262,Paramètres!$A$27:$D$30,4,FALSE)</f>
        <v>0.32</v>
      </c>
      <c r="P262">
        <f>_xlfn.IFNA(VLOOKUP($K262,Paramètres!$A$38:$C$41,2,FALSE),"")</f>
        <v>4</v>
      </c>
      <c r="Q262">
        <f>_xlfn.IFNA(VLOOKUP($K262,Paramètres!$A$38:$C$41,3,FALSE),"")</f>
        <v>5</v>
      </c>
      <c r="R262">
        <v>195</v>
      </c>
      <c r="S262" t="b">
        <v>1</v>
      </c>
      <c r="T262">
        <v>5</v>
      </c>
      <c r="Y262" s="17"/>
      <c r="Z262" s="17"/>
      <c r="AA262" s="17"/>
      <c r="AB262" s="17"/>
    </row>
    <row r="263" spans="1:28" x14ac:dyDescent="0.3">
      <c r="A263" s="10"/>
      <c r="B263" s="10"/>
      <c r="C263" s="10"/>
      <c r="D263" s="15"/>
      <c r="E263" s="16"/>
      <c r="F263" s="17"/>
      <c r="G263" s="17"/>
      <c r="H263" s="17"/>
      <c r="I263" s="17"/>
      <c r="J263" s="17"/>
      <c r="L263" s="1"/>
      <c r="M263" s="1"/>
      <c r="N263" s="1"/>
      <c r="O263" s="1"/>
      <c r="Y263" s="17"/>
      <c r="Z263" s="17"/>
      <c r="AA263" s="17"/>
      <c r="AB263" s="17"/>
    </row>
    <row r="264" spans="1:28" x14ac:dyDescent="0.3">
      <c r="A264" s="10"/>
      <c r="B264" s="10"/>
      <c r="C264" s="10"/>
      <c r="D264" s="15"/>
      <c r="E264" s="16"/>
      <c r="F264" s="17"/>
      <c r="G264" s="17"/>
      <c r="H264" s="17"/>
      <c r="I264" s="17"/>
      <c r="J264" s="17"/>
      <c r="L264" s="1"/>
      <c r="M264" s="1"/>
      <c r="N264" s="1"/>
      <c r="O264" s="1"/>
      <c r="Y264" s="17"/>
      <c r="Z264" s="17"/>
      <c r="AA264" s="17"/>
      <c r="AB264" s="17"/>
    </row>
    <row r="265" spans="1:28" x14ac:dyDescent="0.3">
      <c r="A265" s="10"/>
      <c r="B265" s="10"/>
      <c r="C265" s="10"/>
      <c r="D265" s="15"/>
      <c r="E265" s="16"/>
      <c r="F265" s="17"/>
      <c r="G265" s="17"/>
      <c r="H265" s="17"/>
      <c r="I265" s="17"/>
      <c r="J265" s="17"/>
      <c r="L265" s="1"/>
      <c r="M265" s="1"/>
      <c r="N265" s="1"/>
      <c r="O265" s="1"/>
      <c r="Y265" s="17"/>
      <c r="Z265" s="17"/>
      <c r="AA265" s="17"/>
      <c r="AB265" s="17"/>
    </row>
    <row r="266" spans="1:28" x14ac:dyDescent="0.3">
      <c r="A266" s="10"/>
      <c r="B266" s="10"/>
      <c r="C266" s="10"/>
      <c r="D266" s="15"/>
      <c r="E266" s="16"/>
      <c r="F266" s="17"/>
      <c r="G266" s="17"/>
      <c r="H266" s="17"/>
      <c r="I266" s="17"/>
      <c r="J266" s="17"/>
      <c r="L266" s="1"/>
      <c r="M266" s="1"/>
      <c r="N266" s="1"/>
      <c r="O266" s="1"/>
      <c r="Y266" s="17"/>
      <c r="Z266" s="17"/>
      <c r="AA266" s="17"/>
      <c r="AB266" s="17"/>
    </row>
    <row r="267" spans="1:28" x14ac:dyDescent="0.3">
      <c r="A267" s="10"/>
      <c r="B267" s="10"/>
      <c r="C267" s="10"/>
      <c r="D267" s="15"/>
      <c r="E267" s="16"/>
      <c r="F267" s="17"/>
      <c r="G267" s="17"/>
      <c r="H267" s="17"/>
      <c r="I267" s="17"/>
      <c r="J267" s="17"/>
      <c r="L267" s="1"/>
      <c r="M267" s="1"/>
      <c r="N267" s="1"/>
      <c r="O267" s="1"/>
      <c r="Y267" s="17"/>
      <c r="Z267" s="17"/>
      <c r="AA267" s="17"/>
      <c r="AB267" s="17"/>
    </row>
    <row r="268" spans="1:28" x14ac:dyDescent="0.3">
      <c r="A268" s="10"/>
      <c r="B268" s="10"/>
      <c r="C268" s="10"/>
      <c r="D268" s="15"/>
      <c r="E268" s="16"/>
      <c r="F268" s="17"/>
      <c r="G268" s="17"/>
      <c r="H268" s="17"/>
      <c r="I268" s="17"/>
      <c r="J268" s="17"/>
      <c r="L268" s="1"/>
      <c r="M268" s="1"/>
      <c r="N268" s="1"/>
      <c r="O268" s="1"/>
      <c r="Y268" s="17"/>
      <c r="Z268" s="17"/>
      <c r="AA268" s="17"/>
      <c r="AB268" s="17"/>
    </row>
    <row r="269" spans="1:28" x14ac:dyDescent="0.3">
      <c r="A269" s="10"/>
      <c r="B269" s="10"/>
      <c r="C269" s="10"/>
      <c r="D269" s="15"/>
      <c r="E269" s="16"/>
      <c r="F269" s="17"/>
      <c r="G269" s="17"/>
      <c r="H269" s="17"/>
      <c r="I269" s="17"/>
      <c r="J269" s="17"/>
      <c r="L269" s="1"/>
      <c r="M269" s="1"/>
      <c r="N269" s="1"/>
      <c r="O269" s="1"/>
      <c r="Y269" s="17"/>
      <c r="Z269" s="17"/>
      <c r="AA269" s="17"/>
      <c r="AB269" s="17"/>
    </row>
    <row r="270" spans="1:28" x14ac:dyDescent="0.3">
      <c r="A270" s="10"/>
      <c r="B270" s="10"/>
      <c r="C270" s="10"/>
      <c r="D270" s="15"/>
      <c r="E270" s="16"/>
      <c r="F270" s="17"/>
      <c r="G270" s="17"/>
      <c r="H270" s="17"/>
      <c r="I270" s="17"/>
      <c r="J270" s="17"/>
      <c r="L270" s="1"/>
      <c r="M270" s="1"/>
      <c r="N270" s="1"/>
      <c r="O270" s="1"/>
      <c r="Y270" s="17"/>
      <c r="Z270" s="17"/>
      <c r="AA270" s="17"/>
      <c r="AB270" s="17"/>
    </row>
    <row r="271" spans="1:28" x14ac:dyDescent="0.3">
      <c r="A271" s="10"/>
      <c r="B271" s="10"/>
      <c r="C271" s="10"/>
      <c r="D271" s="15"/>
      <c r="E271" s="16"/>
      <c r="F271" s="17"/>
      <c r="G271" s="17"/>
      <c r="H271" s="17"/>
      <c r="I271" s="17"/>
      <c r="J271" s="17"/>
      <c r="L271" s="1"/>
      <c r="M271" s="1"/>
      <c r="N271" s="1"/>
      <c r="O271" s="1"/>
      <c r="Y271" s="17"/>
      <c r="Z271" s="17"/>
      <c r="AA271" s="17"/>
      <c r="AB271" s="17"/>
    </row>
    <row r="272" spans="1:28" x14ac:dyDescent="0.3">
      <c r="A272" s="10"/>
      <c r="B272" s="10"/>
      <c r="C272" s="10"/>
      <c r="D272" s="15"/>
      <c r="E272" s="16"/>
      <c r="F272" s="17"/>
      <c r="G272" s="17"/>
      <c r="H272" s="17"/>
      <c r="I272" s="17"/>
      <c r="J272" s="17"/>
      <c r="L272" s="1"/>
      <c r="M272" s="1"/>
      <c r="N272" s="1"/>
      <c r="O272" s="1"/>
      <c r="Y272" s="17"/>
      <c r="Z272" s="17"/>
      <c r="AA272" s="17"/>
      <c r="AB272" s="17"/>
    </row>
    <row r="273" spans="1:28" x14ac:dyDescent="0.3">
      <c r="A273" s="10"/>
      <c r="B273" s="10"/>
      <c r="C273" s="10"/>
      <c r="D273" s="15"/>
      <c r="E273" s="16"/>
      <c r="F273" s="17"/>
      <c r="G273" s="17"/>
      <c r="H273" s="17"/>
      <c r="I273" s="17"/>
      <c r="J273" s="17"/>
      <c r="L273" s="1"/>
      <c r="M273" s="1"/>
      <c r="N273" s="1"/>
      <c r="O273" s="1"/>
      <c r="Y273" s="17"/>
      <c r="Z273" s="17"/>
      <c r="AA273" s="17"/>
      <c r="AB273" s="17"/>
    </row>
    <row r="274" spans="1:28" x14ac:dyDescent="0.3">
      <c r="A274" s="10"/>
      <c r="B274" s="10"/>
      <c r="C274" s="10"/>
      <c r="D274" s="15"/>
      <c r="E274" s="16"/>
      <c r="F274" s="17"/>
      <c r="G274" s="17"/>
      <c r="H274" s="17"/>
      <c r="I274" s="17"/>
      <c r="J274" s="17"/>
      <c r="L274" s="1"/>
      <c r="M274" s="1"/>
      <c r="N274" s="1"/>
      <c r="O274" s="1"/>
      <c r="Y274" s="17"/>
      <c r="Z274" s="17"/>
      <c r="AA274" s="17"/>
      <c r="AB274" s="17"/>
    </row>
    <row r="275" spans="1:28" x14ac:dyDescent="0.3">
      <c r="A275" s="10"/>
      <c r="B275" s="10"/>
      <c r="C275" s="10"/>
      <c r="D275" s="15"/>
      <c r="E275" s="16"/>
      <c r="F275" s="17"/>
      <c r="G275" s="17"/>
      <c r="H275" s="17"/>
      <c r="I275" s="17"/>
      <c r="J275" s="17"/>
      <c r="L275" s="1"/>
      <c r="M275" s="1"/>
      <c r="N275" s="1"/>
      <c r="O275" s="1"/>
      <c r="Y275" s="17"/>
      <c r="Z275" s="17"/>
      <c r="AA275" s="17"/>
      <c r="AB275" s="17"/>
    </row>
    <row r="276" spans="1:28" x14ac:dyDescent="0.3">
      <c r="A276" s="10"/>
      <c r="B276" s="10"/>
      <c r="C276" s="10"/>
      <c r="D276" s="15"/>
      <c r="E276" s="16"/>
      <c r="F276" s="17"/>
      <c r="G276" s="17"/>
      <c r="H276" s="17"/>
      <c r="I276" s="17"/>
      <c r="J276" s="17"/>
      <c r="L276" s="1"/>
      <c r="M276" s="1"/>
      <c r="N276" s="1"/>
      <c r="O276" s="1"/>
      <c r="Y276" s="17"/>
      <c r="Z276" s="17"/>
      <c r="AA276" s="17"/>
      <c r="AB276" s="17"/>
    </row>
    <row r="277" spans="1:28" x14ac:dyDescent="0.3">
      <c r="A277" s="10"/>
      <c r="B277" s="10"/>
      <c r="C277" s="10"/>
      <c r="D277" s="15"/>
      <c r="E277" s="16"/>
      <c r="F277" s="17"/>
      <c r="G277" s="17"/>
      <c r="H277" s="17"/>
      <c r="I277" s="17"/>
      <c r="J277" s="17"/>
      <c r="L277" s="1"/>
      <c r="M277" s="1"/>
      <c r="N277" s="1"/>
      <c r="O277" s="1"/>
      <c r="Y277" s="17"/>
      <c r="Z277" s="17"/>
      <c r="AA277" s="17"/>
      <c r="AB277" s="17"/>
    </row>
    <row r="278" spans="1:28" x14ac:dyDescent="0.3">
      <c r="B278" s="10"/>
      <c r="C278" s="10"/>
      <c r="D278" s="15"/>
      <c r="E278" s="16"/>
      <c r="F278" s="17"/>
      <c r="G278" s="17"/>
      <c r="H278" s="17"/>
      <c r="I278" s="17"/>
      <c r="J278" s="17"/>
      <c r="L278" s="1"/>
      <c r="M278" s="1"/>
      <c r="N278" s="1"/>
      <c r="O278" s="1"/>
      <c r="Y278" s="17"/>
      <c r="Z278" s="17"/>
      <c r="AA278" s="17"/>
      <c r="AB278" s="17"/>
    </row>
    <row r="279" spans="1:28" x14ac:dyDescent="0.3">
      <c r="A279" s="10"/>
      <c r="B279" s="10"/>
      <c r="C279" s="10"/>
      <c r="D279" s="15"/>
      <c r="E279" s="16"/>
      <c r="F279" s="17"/>
      <c r="G279" s="17"/>
      <c r="H279" s="17"/>
      <c r="I279" s="17"/>
      <c r="J279" s="17"/>
      <c r="L279" s="1"/>
      <c r="M279" s="1"/>
      <c r="N279" s="1"/>
      <c r="O279" s="1"/>
      <c r="Y279" s="17"/>
      <c r="Z279" s="17"/>
      <c r="AA279" s="17"/>
      <c r="AB279" s="17"/>
    </row>
    <row r="280" spans="1:28" x14ac:dyDescent="0.3">
      <c r="A280" s="10"/>
      <c r="B280" s="10"/>
      <c r="C280" s="10"/>
      <c r="D280" s="15"/>
      <c r="E280" s="16"/>
      <c r="F280" s="17"/>
      <c r="G280" s="17"/>
      <c r="H280" s="17"/>
      <c r="I280" s="17"/>
      <c r="J280" s="17"/>
      <c r="L280" s="1"/>
      <c r="M280" s="1"/>
      <c r="N280" s="1"/>
      <c r="O280" s="1"/>
      <c r="Y280" s="17"/>
      <c r="Z280" s="17"/>
      <c r="AA280" s="17"/>
      <c r="AB280" s="17"/>
    </row>
    <row r="281" spans="1:28" x14ac:dyDescent="0.3">
      <c r="A281" s="10"/>
      <c r="B281" s="10"/>
      <c r="C281" s="10"/>
      <c r="D281" s="15"/>
      <c r="E281" s="16"/>
      <c r="F281" s="17"/>
      <c r="G281" s="17"/>
      <c r="H281" s="17"/>
      <c r="I281" s="17"/>
      <c r="J281" s="17"/>
      <c r="L281" s="1"/>
      <c r="M281" s="1"/>
      <c r="N281" s="1"/>
      <c r="O281" s="1"/>
      <c r="Y281" s="17"/>
      <c r="Z281" s="17"/>
      <c r="AA281" s="17"/>
      <c r="AB281" s="17"/>
    </row>
    <row r="282" spans="1:28" x14ac:dyDescent="0.3">
      <c r="A282" s="10"/>
      <c r="B282" s="10"/>
      <c r="C282" s="10"/>
      <c r="D282" s="15"/>
      <c r="E282" s="16"/>
      <c r="F282" s="17"/>
      <c r="G282" s="17"/>
      <c r="H282" s="17"/>
      <c r="I282" s="17"/>
      <c r="J282" s="17"/>
      <c r="L282" s="1"/>
      <c r="M282" s="1"/>
      <c r="N282" s="1"/>
      <c r="O282" s="1"/>
      <c r="Y282" s="17"/>
      <c r="Z282" s="17"/>
      <c r="AA282" s="17"/>
      <c r="AB282" s="17"/>
    </row>
    <row r="283" spans="1:28" x14ac:dyDescent="0.3">
      <c r="A283" s="10"/>
      <c r="B283" s="10"/>
      <c r="C283" s="10"/>
      <c r="D283" s="15"/>
      <c r="E283" s="16"/>
      <c r="F283" s="17"/>
      <c r="G283" s="17"/>
      <c r="H283" s="17"/>
      <c r="I283" s="17"/>
      <c r="J283" s="17"/>
      <c r="L283" s="1"/>
      <c r="M283" s="1"/>
      <c r="N283" s="1"/>
      <c r="O283" s="1"/>
      <c r="Y283" s="17"/>
      <c r="Z283" s="17"/>
      <c r="AA283" s="17"/>
      <c r="AB283" s="17"/>
    </row>
    <row r="284" spans="1:28" x14ac:dyDescent="0.3">
      <c r="A284" s="10"/>
      <c r="B284" s="10"/>
      <c r="C284" s="10"/>
      <c r="D284" s="15"/>
      <c r="E284" s="16"/>
      <c r="F284" s="17"/>
      <c r="G284" s="17"/>
      <c r="H284" s="17"/>
      <c r="I284" s="17"/>
      <c r="J284" s="17"/>
      <c r="L284" s="1"/>
      <c r="M284" s="1"/>
      <c r="N284" s="1"/>
      <c r="O284" s="1"/>
      <c r="Y284" s="17"/>
      <c r="Z284" s="17"/>
      <c r="AA284" s="17"/>
      <c r="AB284" s="17"/>
    </row>
    <row r="285" spans="1:28" x14ac:dyDescent="0.3">
      <c r="A285" s="10"/>
      <c r="B285" s="10"/>
      <c r="C285" s="10"/>
      <c r="D285" s="15"/>
      <c r="E285" s="16"/>
      <c r="F285" s="17"/>
      <c r="G285" s="17"/>
      <c r="H285" s="17"/>
      <c r="I285" s="17"/>
      <c r="J285" s="17"/>
      <c r="L285" s="1"/>
      <c r="M285" s="1"/>
      <c r="N285" s="1"/>
      <c r="O285" s="1"/>
      <c r="Y285" s="17"/>
      <c r="Z285" s="17"/>
      <c r="AA285" s="17"/>
      <c r="AB285" s="17"/>
    </row>
    <row r="286" spans="1:28" x14ac:dyDescent="0.3">
      <c r="A286" s="10"/>
      <c r="B286" s="10"/>
      <c r="C286" s="10"/>
      <c r="D286" s="15"/>
      <c r="E286" s="16"/>
      <c r="F286" s="17"/>
      <c r="G286" s="17"/>
      <c r="H286" s="17"/>
      <c r="I286" s="17"/>
      <c r="J286" s="17"/>
      <c r="L286" s="1"/>
      <c r="M286" s="1"/>
      <c r="N286" s="1"/>
      <c r="O286" s="1"/>
      <c r="Y286" s="17"/>
      <c r="Z286" s="17"/>
      <c r="AA286" s="17"/>
      <c r="AB286" s="17"/>
    </row>
    <row r="287" spans="1:28" x14ac:dyDescent="0.3">
      <c r="A287" s="10"/>
      <c r="B287" s="10"/>
      <c r="C287" s="10"/>
      <c r="D287" s="15"/>
      <c r="E287" s="16"/>
      <c r="F287" s="17"/>
      <c r="G287" s="17"/>
      <c r="H287" s="17"/>
      <c r="I287" s="17"/>
      <c r="J287" s="17"/>
      <c r="L287" s="1"/>
      <c r="M287" s="1"/>
      <c r="N287" s="1"/>
      <c r="O287" s="1"/>
      <c r="Y287" s="17"/>
      <c r="Z287" s="17"/>
      <c r="AA287" s="17"/>
      <c r="AB287" s="17"/>
    </row>
    <row r="288" spans="1:28" x14ac:dyDescent="0.3">
      <c r="A288" s="10"/>
      <c r="B288" s="10"/>
      <c r="C288" s="10"/>
      <c r="D288" s="15"/>
      <c r="E288" s="16"/>
      <c r="F288" s="17"/>
      <c r="G288" s="17"/>
      <c r="H288" s="17"/>
      <c r="I288" s="17"/>
      <c r="J288" s="17"/>
      <c r="L288" s="1"/>
      <c r="M288" s="1"/>
      <c r="N288" s="1"/>
      <c r="O288" s="1"/>
      <c r="Y288" s="17"/>
      <c r="Z288" s="17"/>
      <c r="AA288" s="17"/>
      <c r="AB288" s="17"/>
    </row>
    <row r="289" spans="1:28" x14ac:dyDescent="0.3">
      <c r="A289" s="10"/>
      <c r="B289" s="10"/>
      <c r="C289" s="10"/>
      <c r="D289" s="15"/>
      <c r="E289" s="16"/>
      <c r="F289" s="17"/>
      <c r="G289" s="17"/>
      <c r="H289" s="17"/>
      <c r="I289" s="17"/>
      <c r="J289" s="17"/>
      <c r="L289" s="1"/>
      <c r="M289" s="1"/>
      <c r="N289" s="1"/>
      <c r="O289" s="1"/>
      <c r="Y289" s="17"/>
      <c r="Z289" s="17"/>
      <c r="AA289" s="17"/>
      <c r="AB289" s="17"/>
    </row>
    <row r="290" spans="1:28" x14ac:dyDescent="0.3">
      <c r="A290" s="10"/>
      <c r="B290" s="10"/>
      <c r="C290" s="10"/>
      <c r="D290" s="15"/>
      <c r="E290" s="16"/>
      <c r="F290" s="17"/>
      <c r="G290" s="17"/>
      <c r="H290" s="17"/>
      <c r="I290" s="17"/>
      <c r="J290" s="17"/>
      <c r="L290" s="1"/>
      <c r="M290" s="1"/>
      <c r="N290" s="1"/>
      <c r="O290" s="1"/>
      <c r="Y290" s="17"/>
      <c r="Z290" s="17"/>
      <c r="AA290" s="17"/>
      <c r="AB290" s="17"/>
    </row>
    <row r="291" spans="1:28" x14ac:dyDescent="0.3">
      <c r="A291" s="10"/>
      <c r="B291" s="10"/>
      <c r="C291" s="10"/>
      <c r="D291" s="15"/>
      <c r="E291" s="16"/>
      <c r="F291" s="17"/>
      <c r="G291" s="17"/>
      <c r="H291" s="17"/>
      <c r="I291" s="17"/>
      <c r="J291" s="17"/>
      <c r="L291" s="1"/>
      <c r="M291" s="1"/>
      <c r="N291" s="1"/>
      <c r="O291" s="1"/>
      <c r="Y291" s="17"/>
      <c r="Z291" s="17"/>
      <c r="AA291" s="17"/>
      <c r="AB291" s="17"/>
    </row>
    <row r="292" spans="1:28" x14ac:dyDescent="0.3">
      <c r="A292" s="10"/>
      <c r="B292" s="10"/>
      <c r="C292" s="10"/>
      <c r="D292" s="15"/>
      <c r="E292" s="16"/>
      <c r="F292" s="17"/>
      <c r="G292" s="17"/>
      <c r="H292" s="17"/>
      <c r="I292" s="17"/>
      <c r="J292" s="17"/>
      <c r="L292" s="1"/>
      <c r="M292" s="1"/>
      <c r="N292" s="1"/>
      <c r="O292" s="1"/>
      <c r="Y292" s="17"/>
      <c r="Z292" s="17"/>
      <c r="AA292" s="17"/>
      <c r="AB292" s="17"/>
    </row>
    <row r="293" spans="1:28" x14ac:dyDescent="0.3">
      <c r="A293" s="10"/>
      <c r="B293" s="10"/>
      <c r="C293" s="10"/>
      <c r="D293" s="15"/>
      <c r="E293" s="16"/>
      <c r="F293" s="17"/>
      <c r="G293" s="17"/>
      <c r="H293" s="17"/>
      <c r="I293" s="17"/>
      <c r="J293" s="17"/>
      <c r="L293" s="1"/>
      <c r="M293" s="1"/>
      <c r="N293" s="1"/>
      <c r="O293" s="1"/>
      <c r="Y293" s="17"/>
      <c r="Z293" s="17"/>
      <c r="AA293" s="17"/>
      <c r="AB293" s="17"/>
    </row>
    <row r="294" spans="1:28" x14ac:dyDescent="0.3">
      <c r="A294" s="10"/>
      <c r="B294" s="10"/>
      <c r="C294" s="10"/>
      <c r="D294" s="15"/>
      <c r="E294" s="16"/>
      <c r="F294" s="17"/>
      <c r="G294" s="17"/>
      <c r="H294" s="17"/>
      <c r="I294" s="17"/>
      <c r="J294" s="17"/>
      <c r="L294" s="1"/>
      <c r="M294" s="1"/>
      <c r="N294" s="1"/>
      <c r="O294" s="1"/>
      <c r="Y294" s="17"/>
      <c r="Z294" s="17"/>
      <c r="AA294" s="17"/>
      <c r="AB294" s="17"/>
    </row>
    <row r="295" spans="1:28" x14ac:dyDescent="0.3">
      <c r="A295" s="10"/>
      <c r="B295" s="10"/>
      <c r="C295" s="10"/>
      <c r="D295" s="15"/>
      <c r="E295" s="16"/>
      <c r="F295" s="17"/>
      <c r="G295" s="17"/>
      <c r="H295" s="17"/>
      <c r="I295" s="17"/>
      <c r="J295" s="17"/>
      <c r="L295" s="1"/>
      <c r="M295" s="1"/>
      <c r="N295" s="1"/>
      <c r="O295" s="1"/>
      <c r="Y295" s="17"/>
      <c r="Z295" s="17"/>
      <c r="AA295" s="17"/>
      <c r="AB295" s="17"/>
    </row>
    <row r="296" spans="1:28" x14ac:dyDescent="0.3">
      <c r="A296" s="10"/>
      <c r="B296" s="10"/>
      <c r="C296" s="10"/>
      <c r="D296" s="15"/>
      <c r="E296" s="16"/>
      <c r="F296" s="17"/>
      <c r="G296" s="17"/>
      <c r="H296" s="17"/>
      <c r="I296" s="17"/>
      <c r="J296" s="17"/>
      <c r="L296" s="1"/>
      <c r="M296" s="1"/>
      <c r="N296" s="1"/>
      <c r="O296" s="1"/>
      <c r="Y296" s="17"/>
      <c r="Z296" s="17"/>
      <c r="AA296" s="17"/>
      <c r="AB296" s="17"/>
    </row>
    <row r="297" spans="1:28" x14ac:dyDescent="0.3">
      <c r="A297" s="10"/>
      <c r="B297" s="10"/>
      <c r="C297" s="10"/>
      <c r="D297" s="15"/>
      <c r="E297" s="16"/>
      <c r="F297" s="17"/>
      <c r="G297" s="17"/>
      <c r="H297" s="17"/>
      <c r="I297" s="17"/>
      <c r="J297" s="17"/>
      <c r="L297" s="1"/>
      <c r="M297" s="1"/>
      <c r="N297" s="1"/>
      <c r="O297" s="1"/>
      <c r="Y297" s="17"/>
      <c r="Z297" s="17"/>
      <c r="AA297" s="17"/>
      <c r="AB297" s="17"/>
    </row>
    <row r="298" spans="1:28" x14ac:dyDescent="0.3">
      <c r="A298" s="10"/>
      <c r="B298" s="10"/>
      <c r="C298" s="10"/>
      <c r="D298" s="15"/>
      <c r="E298" s="16"/>
      <c r="F298" s="17"/>
      <c r="G298" s="17"/>
      <c r="H298" s="17"/>
      <c r="I298" s="17"/>
      <c r="J298" s="17"/>
      <c r="L298" s="1"/>
      <c r="M298" s="1"/>
      <c r="N298" s="1"/>
      <c r="O298" s="1"/>
      <c r="Y298" s="17"/>
      <c r="Z298" s="17"/>
      <c r="AA298" s="17"/>
      <c r="AB298" s="17"/>
    </row>
    <row r="299" spans="1:28" x14ac:dyDescent="0.3">
      <c r="A299" s="10"/>
      <c r="B299" s="10"/>
      <c r="C299" s="10"/>
      <c r="D299" s="15"/>
      <c r="E299" s="16"/>
      <c r="F299" s="17"/>
      <c r="G299" s="17"/>
      <c r="H299" s="17"/>
      <c r="I299" s="17"/>
      <c r="J299" s="17"/>
      <c r="L299" s="1"/>
      <c r="M299" s="1"/>
      <c r="N299" s="1"/>
      <c r="O299" s="1"/>
      <c r="Y299" s="17"/>
      <c r="Z299" s="17"/>
      <c r="AA299" s="17"/>
      <c r="AB299" s="17"/>
    </row>
    <row r="300" spans="1:28" x14ac:dyDescent="0.3">
      <c r="A300" s="10"/>
      <c r="B300" s="10"/>
      <c r="C300" s="10"/>
      <c r="D300" s="15"/>
      <c r="E300" s="16"/>
      <c r="F300" s="17"/>
      <c r="G300" s="17"/>
      <c r="H300" s="17"/>
      <c r="I300" s="17"/>
      <c r="J300" s="17"/>
      <c r="L300" s="1"/>
      <c r="M300" s="1"/>
      <c r="N300" s="1"/>
      <c r="O300" s="1"/>
      <c r="Y300" s="17"/>
      <c r="Z300" s="17"/>
      <c r="AA300" s="17"/>
      <c r="AB300" s="17"/>
    </row>
    <row r="301" spans="1:28" x14ac:dyDescent="0.3">
      <c r="A301" s="10"/>
      <c r="B301" s="10"/>
      <c r="C301" s="10"/>
      <c r="D301" s="15"/>
      <c r="E301" s="16"/>
      <c r="F301" s="17"/>
      <c r="G301" s="17"/>
      <c r="H301" s="17"/>
      <c r="I301" s="17"/>
      <c r="J301" s="17"/>
      <c r="L301" s="1"/>
      <c r="M301" s="1"/>
      <c r="N301" s="1"/>
      <c r="O301" s="1"/>
      <c r="Y301" s="17"/>
      <c r="Z301" s="17"/>
      <c r="AA301" s="17"/>
      <c r="AB301" s="17"/>
    </row>
    <row r="302" spans="1:28" x14ac:dyDescent="0.3">
      <c r="A302" s="10"/>
      <c r="B302" s="10"/>
      <c r="C302" s="10"/>
      <c r="D302" s="15"/>
      <c r="E302" s="16"/>
      <c r="F302" s="17"/>
      <c r="G302" s="17"/>
      <c r="H302" s="17"/>
      <c r="I302" s="17"/>
      <c r="J302" s="17"/>
      <c r="L302" s="1"/>
      <c r="M302" s="1"/>
      <c r="N302" s="1"/>
      <c r="O302" s="1"/>
      <c r="Y302" s="17"/>
      <c r="Z302" s="17"/>
      <c r="AA302" s="17"/>
      <c r="AB302" s="17"/>
    </row>
    <row r="303" spans="1:28" x14ac:dyDescent="0.3">
      <c r="A303" s="10"/>
      <c r="B303" s="10"/>
      <c r="C303" s="10"/>
      <c r="D303" s="15"/>
      <c r="E303" s="16"/>
      <c r="F303" s="17"/>
      <c r="G303" s="17"/>
      <c r="H303" s="17"/>
      <c r="I303" s="17"/>
      <c r="J303" s="17"/>
      <c r="L303" s="1"/>
      <c r="M303" s="1"/>
      <c r="N303" s="1"/>
      <c r="O303" s="1"/>
      <c r="Y303" s="17"/>
      <c r="Z303" s="17"/>
      <c r="AA303" s="17"/>
      <c r="AB303" s="17"/>
    </row>
    <row r="304" spans="1:28" x14ac:dyDescent="0.3">
      <c r="A304" s="10"/>
      <c r="B304" s="10"/>
      <c r="C304" s="10"/>
      <c r="D304" s="15"/>
      <c r="E304" s="16"/>
      <c r="F304" s="17"/>
      <c r="G304" s="17"/>
      <c r="H304" s="17"/>
      <c r="I304" s="17"/>
      <c r="J304" s="17"/>
      <c r="L304" s="1"/>
      <c r="M304" s="1"/>
      <c r="N304" s="1"/>
      <c r="O304" s="1"/>
      <c r="Y304" s="17"/>
      <c r="Z304" s="17"/>
      <c r="AA304" s="17"/>
      <c r="AB304" s="17"/>
    </row>
    <row r="305" spans="1:28" x14ac:dyDescent="0.3">
      <c r="A305" s="10"/>
      <c r="B305" s="10"/>
      <c r="C305" s="10"/>
      <c r="D305" s="15"/>
      <c r="E305" s="16"/>
      <c r="F305" s="17"/>
      <c r="G305" s="17"/>
      <c r="H305" s="17"/>
      <c r="I305" s="17"/>
      <c r="J305" s="17"/>
      <c r="L305" s="1"/>
      <c r="M305" s="1"/>
      <c r="N305" s="1"/>
      <c r="O305" s="1"/>
      <c r="Y305" s="17"/>
      <c r="Z305" s="17"/>
      <c r="AA305" s="17"/>
      <c r="AB305" s="17"/>
    </row>
    <row r="306" spans="1:28" x14ac:dyDescent="0.3">
      <c r="A306" s="10"/>
      <c r="B306" s="10"/>
      <c r="C306" s="10"/>
      <c r="D306" s="15"/>
      <c r="E306" s="16"/>
      <c r="F306" s="17"/>
      <c r="G306" s="17"/>
      <c r="H306" s="17"/>
      <c r="I306" s="17"/>
      <c r="J306" s="17"/>
      <c r="L306" s="1"/>
      <c r="M306" s="1"/>
      <c r="N306" s="1"/>
      <c r="O306" s="1"/>
      <c r="Y306" s="17"/>
      <c r="Z306" s="17"/>
      <c r="AA306" s="17"/>
      <c r="AB306" s="17"/>
    </row>
    <row r="307" spans="1:28" x14ac:dyDescent="0.3">
      <c r="A307" s="10"/>
      <c r="B307" s="10"/>
      <c r="C307" s="10"/>
      <c r="D307" s="15"/>
      <c r="E307" s="16"/>
      <c r="F307" s="17"/>
      <c r="G307" s="17"/>
      <c r="H307" s="17"/>
      <c r="I307" s="17"/>
      <c r="J307" s="17"/>
      <c r="L307" s="1"/>
      <c r="M307" s="1"/>
      <c r="N307" s="1"/>
      <c r="O307" s="1"/>
      <c r="Y307" s="17"/>
      <c r="Z307" s="17"/>
      <c r="AA307" s="17"/>
      <c r="AB307" s="17"/>
    </row>
    <row r="308" spans="1:28" x14ac:dyDescent="0.3">
      <c r="A308" s="10"/>
      <c r="B308" s="10"/>
      <c r="C308" s="10"/>
      <c r="D308" s="15"/>
      <c r="E308" s="16"/>
      <c r="F308" s="17"/>
      <c r="G308" s="17"/>
      <c r="H308" s="17"/>
      <c r="I308" s="17"/>
      <c r="J308" s="17"/>
      <c r="L308" s="1"/>
      <c r="M308" s="1"/>
      <c r="N308" s="1"/>
      <c r="O308" s="1"/>
      <c r="Y308" s="17"/>
      <c r="Z308" s="17"/>
      <c r="AA308" s="17"/>
      <c r="AB308" s="17"/>
    </row>
    <row r="309" spans="1:28" x14ac:dyDescent="0.3">
      <c r="A309" s="10"/>
      <c r="B309" s="10"/>
      <c r="C309" s="10"/>
      <c r="D309" s="15"/>
      <c r="E309" s="16"/>
      <c r="F309" s="17"/>
      <c r="G309" s="17"/>
      <c r="H309" s="17"/>
      <c r="I309" s="17"/>
      <c r="J309" s="17"/>
      <c r="L309" s="1"/>
      <c r="M309" s="1"/>
      <c r="N309" s="1"/>
      <c r="O309" s="1"/>
      <c r="Y309" s="17"/>
      <c r="Z309" s="17"/>
      <c r="AA309" s="17"/>
      <c r="AB309" s="17"/>
    </row>
    <row r="310" spans="1:28" x14ac:dyDescent="0.3">
      <c r="A310" s="10"/>
      <c r="B310" s="10"/>
      <c r="C310" s="10"/>
      <c r="D310" s="15"/>
      <c r="E310" s="16"/>
      <c r="F310" s="17"/>
      <c r="G310" s="17"/>
      <c r="H310" s="17"/>
      <c r="I310" s="17"/>
      <c r="J310" s="17"/>
      <c r="L310" s="1"/>
      <c r="M310" s="1"/>
      <c r="N310" s="1"/>
      <c r="O310" s="1"/>
      <c r="Y310" s="17"/>
      <c r="Z310" s="17"/>
      <c r="AA310" s="17"/>
      <c r="AB310" s="17"/>
    </row>
    <row r="311" spans="1:28" x14ac:dyDescent="0.3">
      <c r="A311" s="10"/>
      <c r="B311" s="10"/>
      <c r="C311" s="10"/>
      <c r="D311" s="15"/>
      <c r="E311" s="16"/>
      <c r="F311" s="17"/>
      <c r="G311" s="17"/>
      <c r="H311" s="17"/>
      <c r="I311" s="17"/>
      <c r="J311" s="17"/>
      <c r="L311" s="1"/>
      <c r="M311" s="1"/>
      <c r="N311" s="1"/>
      <c r="O311" s="1"/>
      <c r="Y311" s="17"/>
      <c r="Z311" s="17"/>
      <c r="AA311" s="17"/>
      <c r="AB311" s="17"/>
    </row>
    <row r="312" spans="1:28" x14ac:dyDescent="0.3">
      <c r="A312" s="10"/>
      <c r="B312" s="10"/>
      <c r="C312" s="10"/>
      <c r="D312" s="15"/>
      <c r="E312" s="16"/>
      <c r="F312" s="17"/>
      <c r="G312" s="17"/>
      <c r="H312" s="17"/>
      <c r="I312" s="17"/>
      <c r="J312" s="17"/>
      <c r="L312" s="1"/>
      <c r="M312" s="1"/>
      <c r="N312" s="1"/>
      <c r="O312" s="1"/>
      <c r="Y312" s="17"/>
      <c r="Z312" s="17"/>
      <c r="AA312" s="17"/>
      <c r="AB312" s="17"/>
    </row>
    <row r="313" spans="1:28" x14ac:dyDescent="0.3">
      <c r="A313"/>
      <c r="B313" s="10"/>
      <c r="C313" s="10"/>
      <c r="D313" s="15"/>
      <c r="E313" s="16"/>
      <c r="F313" s="17"/>
      <c r="G313" s="17"/>
      <c r="H313" s="17"/>
      <c r="I313" s="17"/>
      <c r="J313" s="17"/>
      <c r="L313" s="1"/>
      <c r="M313" s="1"/>
      <c r="N313" s="1"/>
      <c r="O313" s="1"/>
      <c r="Y313" s="17"/>
      <c r="Z313" s="17"/>
      <c r="AA313" s="17"/>
      <c r="AB313" s="17"/>
    </row>
    <row r="314" spans="1:28" x14ac:dyDescent="0.3">
      <c r="A314" s="10"/>
      <c r="B314" s="10"/>
      <c r="C314" s="10"/>
      <c r="D314" s="15"/>
      <c r="E314" s="16"/>
      <c r="F314" s="17"/>
      <c r="G314" s="17"/>
      <c r="H314" s="17"/>
      <c r="I314" s="17"/>
      <c r="J314" s="17"/>
      <c r="L314" s="1"/>
      <c r="M314" s="1"/>
      <c r="N314" s="1"/>
      <c r="O314" s="1"/>
      <c r="Y314" s="17"/>
      <c r="Z314" s="17"/>
      <c r="AA314" s="17"/>
      <c r="AB314" s="17"/>
    </row>
    <row r="315" spans="1:28" x14ac:dyDescent="0.3">
      <c r="A315" s="10"/>
      <c r="B315" s="10"/>
      <c r="C315" s="10"/>
      <c r="D315" s="15"/>
      <c r="E315" s="16"/>
      <c r="F315" s="17"/>
      <c r="G315" s="17"/>
      <c r="H315" s="17"/>
      <c r="I315" s="17"/>
      <c r="J315" s="17"/>
      <c r="L315" s="1"/>
      <c r="M315" s="1"/>
      <c r="N315" s="1"/>
      <c r="O315" s="1"/>
      <c r="Y315" s="17"/>
      <c r="Z315" s="17"/>
      <c r="AA315" s="17"/>
      <c r="AB315" s="17"/>
    </row>
    <row r="316" spans="1:28" x14ac:dyDescent="0.3">
      <c r="A316" s="10"/>
      <c r="B316" s="10"/>
      <c r="C316" s="10"/>
      <c r="D316" s="15"/>
      <c r="E316" s="16"/>
      <c r="F316" s="17"/>
      <c r="G316" s="17"/>
      <c r="H316" s="17"/>
      <c r="I316" s="17"/>
      <c r="J316" s="17"/>
      <c r="L316" s="1"/>
      <c r="M316" s="1"/>
      <c r="N316" s="1"/>
      <c r="O316" s="1"/>
      <c r="Y316" s="17"/>
      <c r="Z316" s="17"/>
      <c r="AA316" s="17"/>
      <c r="AB316" s="17"/>
    </row>
    <row r="317" spans="1:28" x14ac:dyDescent="0.3">
      <c r="A317" s="10"/>
      <c r="B317" s="10"/>
      <c r="C317" s="10"/>
      <c r="D317" s="15"/>
      <c r="E317" s="16"/>
      <c r="F317" s="17"/>
      <c r="G317" s="17"/>
      <c r="H317" s="17"/>
      <c r="I317" s="17"/>
      <c r="J317" s="17"/>
      <c r="L317" s="1"/>
      <c r="M317" s="1"/>
      <c r="N317" s="1"/>
      <c r="O317" s="1"/>
      <c r="Y317" s="17"/>
      <c r="Z317" s="17"/>
      <c r="AA317" s="17"/>
      <c r="AB317" s="17"/>
    </row>
    <row r="318" spans="1:28" x14ac:dyDescent="0.3">
      <c r="A318" s="10"/>
      <c r="B318" s="10"/>
      <c r="C318" s="10"/>
      <c r="D318" s="15"/>
      <c r="E318" s="16"/>
      <c r="F318" s="17"/>
      <c r="G318" s="17"/>
      <c r="H318" s="17"/>
      <c r="I318" s="17"/>
      <c r="J318" s="17"/>
      <c r="L318" s="1"/>
      <c r="M318" s="1"/>
      <c r="N318" s="1"/>
      <c r="O318" s="1"/>
      <c r="Y318" s="17"/>
      <c r="Z318" s="17"/>
      <c r="AA318" s="17"/>
      <c r="AB318" s="17"/>
    </row>
    <row r="319" spans="1:28" x14ac:dyDescent="0.3">
      <c r="A319" s="10"/>
      <c r="B319" s="10"/>
      <c r="C319" s="10"/>
      <c r="D319" s="15"/>
      <c r="E319" s="16"/>
      <c r="F319" s="17"/>
      <c r="G319" s="17"/>
      <c r="H319" s="17"/>
      <c r="I319" s="17"/>
      <c r="J319" s="17"/>
      <c r="L319" s="1"/>
      <c r="M319" s="1"/>
      <c r="N319" s="1"/>
      <c r="O319" s="1"/>
      <c r="Y319" s="17"/>
      <c r="Z319" s="17"/>
      <c r="AA319" s="17"/>
      <c r="AB319" s="17"/>
    </row>
    <row r="320" spans="1:28" x14ac:dyDescent="0.3">
      <c r="A320" s="10"/>
      <c r="B320" s="10"/>
      <c r="C320" s="10"/>
      <c r="D320" s="15"/>
      <c r="E320" s="16"/>
      <c r="F320" s="17"/>
      <c r="G320" s="17"/>
      <c r="H320" s="17"/>
      <c r="I320" s="17"/>
      <c r="J320" s="17"/>
      <c r="L320" s="1"/>
      <c r="M320" s="1"/>
      <c r="N320" s="1"/>
      <c r="O320" s="1"/>
      <c r="Y320" s="17"/>
      <c r="Z320" s="17"/>
      <c r="AA320" s="17"/>
      <c r="AB320" s="17"/>
    </row>
    <row r="321" spans="1:28" x14ac:dyDescent="0.3">
      <c r="A321" s="10"/>
      <c r="B321" s="10"/>
      <c r="C321" s="10"/>
      <c r="D321" s="15"/>
      <c r="E321" s="16"/>
      <c r="F321" s="17"/>
      <c r="G321" s="17"/>
      <c r="H321" s="17"/>
      <c r="I321" s="17"/>
      <c r="J321" s="17"/>
      <c r="L321" s="1"/>
      <c r="M321" s="1"/>
      <c r="N321" s="1"/>
      <c r="O321" s="1"/>
      <c r="Y321" s="17"/>
      <c r="Z321" s="17"/>
      <c r="AA321" s="17"/>
      <c r="AB321" s="17"/>
    </row>
    <row r="322" spans="1:28" x14ac:dyDescent="0.3">
      <c r="A322" s="10"/>
      <c r="B322" s="10"/>
      <c r="C322" s="10"/>
      <c r="D322" s="15"/>
      <c r="E322" s="16"/>
      <c r="F322" s="17"/>
      <c r="G322" s="17"/>
      <c r="H322" s="17"/>
      <c r="I322" s="17"/>
      <c r="J322" s="17"/>
      <c r="L322" s="1"/>
      <c r="M322" s="1"/>
      <c r="N322" s="1"/>
      <c r="O322" s="1"/>
      <c r="Y322" s="17"/>
      <c r="Z322" s="17"/>
      <c r="AA322" s="17"/>
      <c r="AB322" s="17"/>
    </row>
    <row r="323" spans="1:28" x14ac:dyDescent="0.3">
      <c r="A323" s="10"/>
      <c r="B323" s="10"/>
      <c r="C323" s="10"/>
      <c r="D323" s="15"/>
      <c r="E323" s="16"/>
      <c r="F323" s="17"/>
      <c r="G323" s="17"/>
      <c r="H323" s="17"/>
      <c r="I323" s="17"/>
      <c r="J323" s="17"/>
      <c r="L323" s="1"/>
      <c r="M323" s="1"/>
      <c r="N323" s="1"/>
      <c r="O323" s="1"/>
      <c r="Y323" s="17"/>
      <c r="Z323" s="17"/>
      <c r="AA323" s="17"/>
      <c r="AB323" s="17"/>
    </row>
    <row r="324" spans="1:28" x14ac:dyDescent="0.3">
      <c r="A324" s="10"/>
      <c r="B324" s="10"/>
      <c r="C324" s="10"/>
      <c r="D324" s="15"/>
      <c r="E324" s="16"/>
      <c r="F324" s="17"/>
      <c r="G324" s="17"/>
      <c r="H324" s="17"/>
      <c r="I324" s="17"/>
      <c r="J324" s="17"/>
      <c r="L324" s="1"/>
      <c r="M324" s="1"/>
      <c r="N324" s="1"/>
      <c r="O324" s="1"/>
      <c r="Y324" s="17"/>
      <c r="Z324" s="17"/>
      <c r="AA324" s="17"/>
      <c r="AB324" s="17"/>
    </row>
    <row r="325" spans="1:28" x14ac:dyDescent="0.3">
      <c r="A325" s="10"/>
      <c r="B325" s="10"/>
      <c r="C325" s="10"/>
      <c r="D325" s="15"/>
      <c r="E325" s="16"/>
      <c r="F325" s="17"/>
      <c r="G325" s="17"/>
      <c r="H325" s="17"/>
      <c r="I325" s="17"/>
      <c r="J325" s="17"/>
      <c r="L325" s="1"/>
      <c r="M325" s="1"/>
      <c r="N325" s="1"/>
      <c r="O325" s="1"/>
      <c r="Y325" s="17"/>
      <c r="Z325" s="17"/>
      <c r="AA325" s="17"/>
      <c r="AB325" s="17"/>
    </row>
    <row r="326" spans="1:28" x14ac:dyDescent="0.3">
      <c r="A326" s="10"/>
      <c r="B326" s="10"/>
      <c r="C326" s="10"/>
      <c r="D326" s="15"/>
      <c r="E326" s="16"/>
      <c r="F326" s="17"/>
      <c r="G326" s="17"/>
      <c r="H326" s="17"/>
      <c r="I326" s="17"/>
      <c r="J326" s="17"/>
      <c r="L326" s="1"/>
      <c r="M326" s="1"/>
      <c r="N326" s="1"/>
      <c r="O326" s="1"/>
      <c r="Y326" s="17"/>
      <c r="Z326" s="17"/>
      <c r="AA326" s="17"/>
      <c r="AB326" s="17"/>
    </row>
    <row r="327" spans="1:28" x14ac:dyDescent="0.3">
      <c r="A327" s="10"/>
      <c r="B327" s="10"/>
      <c r="C327" s="10"/>
      <c r="D327" s="15"/>
      <c r="E327" s="16"/>
      <c r="F327" s="17"/>
      <c r="G327" s="17"/>
      <c r="H327" s="17"/>
      <c r="I327" s="17"/>
      <c r="J327" s="17"/>
      <c r="L327" s="1"/>
      <c r="M327" s="1"/>
      <c r="N327" s="1"/>
      <c r="O327" s="1"/>
      <c r="Y327" s="17"/>
      <c r="Z327" s="17"/>
      <c r="AA327" s="17"/>
      <c r="AB327" s="17"/>
    </row>
    <row r="328" spans="1:28" x14ac:dyDescent="0.3">
      <c r="A328" s="10"/>
      <c r="B328" s="10"/>
      <c r="C328" s="10"/>
      <c r="D328" s="15"/>
      <c r="E328" s="16"/>
      <c r="F328" s="17"/>
      <c r="G328" s="17"/>
      <c r="H328" s="17"/>
      <c r="I328" s="17"/>
      <c r="J328" s="17"/>
      <c r="L328" s="1"/>
      <c r="M328" s="1"/>
      <c r="N328" s="1"/>
      <c r="O328" s="1"/>
      <c r="Y328" s="17"/>
      <c r="Z328" s="17"/>
      <c r="AA328" s="17"/>
      <c r="AB328" s="17"/>
    </row>
    <row r="329" spans="1:28" x14ac:dyDescent="0.3">
      <c r="A329" s="10"/>
      <c r="B329" s="10"/>
      <c r="C329" s="10"/>
      <c r="D329" s="15"/>
      <c r="E329" s="16"/>
      <c r="F329" s="17"/>
      <c r="G329" s="17"/>
      <c r="H329" s="17"/>
      <c r="I329" s="17"/>
      <c r="J329" s="17"/>
      <c r="L329" s="1"/>
      <c r="M329" s="1"/>
      <c r="N329" s="1"/>
      <c r="O329" s="1"/>
      <c r="Y329" s="17"/>
      <c r="Z329" s="17"/>
      <c r="AA329" s="17"/>
      <c r="AB329" s="17"/>
    </row>
    <row r="330" spans="1:28" x14ac:dyDescent="0.3">
      <c r="A330" s="10"/>
      <c r="B330" s="10"/>
      <c r="C330" s="10"/>
      <c r="D330" s="15"/>
      <c r="E330" s="16"/>
      <c r="F330" s="17"/>
      <c r="G330" s="17"/>
      <c r="H330" s="17"/>
      <c r="I330" s="17"/>
      <c r="J330" s="17"/>
      <c r="L330" s="1"/>
      <c r="M330" s="1"/>
      <c r="N330" s="1"/>
      <c r="O330" s="1"/>
      <c r="Y330" s="17"/>
      <c r="Z330" s="17"/>
      <c r="AA330" s="17"/>
      <c r="AB330" s="17"/>
    </row>
    <row r="331" spans="1:28" x14ac:dyDescent="0.3">
      <c r="A331" s="10"/>
      <c r="B331" s="10"/>
      <c r="C331" s="10"/>
      <c r="D331" s="15"/>
      <c r="E331" s="16"/>
      <c r="F331" s="17"/>
      <c r="G331" s="17"/>
      <c r="H331" s="17"/>
      <c r="I331" s="17"/>
      <c r="J331" s="17"/>
      <c r="L331" s="1"/>
      <c r="M331" s="1"/>
      <c r="N331" s="1"/>
      <c r="O331" s="1"/>
      <c r="Y331" s="17"/>
      <c r="Z331" s="17"/>
      <c r="AA331" s="17"/>
      <c r="AB331" s="17"/>
    </row>
    <row r="332" spans="1:28" x14ac:dyDescent="0.3">
      <c r="A332" s="10"/>
      <c r="B332" s="10"/>
      <c r="C332" s="10"/>
      <c r="D332" s="15"/>
      <c r="E332" s="16"/>
      <c r="F332" s="17"/>
      <c r="G332" s="17"/>
      <c r="H332" s="17"/>
      <c r="I332" s="17"/>
      <c r="J332" s="17"/>
      <c r="L332" s="1"/>
      <c r="M332" s="1"/>
      <c r="N332" s="1"/>
      <c r="O332" s="1"/>
      <c r="Y332" s="17"/>
      <c r="Z332" s="17"/>
      <c r="AA332" s="17"/>
      <c r="AB332" s="17"/>
    </row>
    <row r="333" spans="1:28" x14ac:dyDescent="0.3">
      <c r="A333" s="10"/>
      <c r="B333" s="10"/>
      <c r="C333" s="10"/>
      <c r="D333" s="15"/>
      <c r="E333" s="16"/>
      <c r="F333" s="17"/>
      <c r="G333" s="17"/>
      <c r="H333" s="17"/>
      <c r="I333" s="17"/>
      <c r="J333" s="17"/>
      <c r="L333" s="1"/>
      <c r="M333" s="1"/>
      <c r="N333" s="1"/>
      <c r="O333" s="1"/>
      <c r="Y333" s="17"/>
      <c r="Z333" s="17"/>
      <c r="AA333" s="17"/>
      <c r="AB333" s="17"/>
    </row>
    <row r="334" spans="1:28" x14ac:dyDescent="0.3">
      <c r="A334" s="10"/>
      <c r="B334" s="10"/>
      <c r="C334" s="10"/>
      <c r="D334" s="15"/>
      <c r="E334" s="16"/>
      <c r="F334" s="17"/>
      <c r="G334" s="17"/>
      <c r="H334" s="17"/>
      <c r="I334" s="17"/>
      <c r="J334" s="17"/>
      <c r="L334" s="1"/>
      <c r="M334" s="1"/>
      <c r="N334" s="1"/>
      <c r="O334" s="1"/>
      <c r="Y334" s="17"/>
      <c r="Z334" s="17"/>
      <c r="AA334" s="17"/>
      <c r="AB334" s="17"/>
    </row>
    <row r="335" spans="1:28" x14ac:dyDescent="0.3">
      <c r="A335" s="10"/>
      <c r="B335" s="10"/>
      <c r="C335" s="10"/>
      <c r="D335" s="15"/>
      <c r="E335" s="16"/>
      <c r="F335" s="17"/>
      <c r="G335" s="17"/>
      <c r="H335" s="17"/>
      <c r="I335" s="17"/>
      <c r="J335" s="17"/>
      <c r="L335" s="1"/>
      <c r="M335" s="1"/>
      <c r="N335" s="1"/>
      <c r="O335" s="1"/>
      <c r="Y335" s="17"/>
      <c r="Z335" s="17"/>
      <c r="AA335" s="17"/>
      <c r="AB335" s="17"/>
    </row>
    <row r="336" spans="1:28" x14ac:dyDescent="0.3">
      <c r="A336" s="10"/>
      <c r="B336" s="10"/>
      <c r="C336" s="10"/>
      <c r="D336" s="15"/>
      <c r="E336" s="16"/>
      <c r="F336" s="17"/>
      <c r="G336" s="17"/>
      <c r="H336" s="17"/>
      <c r="I336" s="17"/>
      <c r="J336" s="17"/>
      <c r="L336" s="1"/>
      <c r="M336" s="1"/>
      <c r="N336" s="1"/>
      <c r="O336" s="1"/>
      <c r="Y336" s="17"/>
      <c r="Z336" s="17"/>
      <c r="AA336" s="17"/>
      <c r="AB336" s="17"/>
    </row>
    <row r="337" spans="1:28" x14ac:dyDescent="0.3">
      <c r="A337" s="10"/>
      <c r="B337" s="10"/>
      <c r="C337" s="10"/>
      <c r="D337" s="15"/>
      <c r="E337" s="16"/>
      <c r="F337" s="17"/>
      <c r="G337" s="17"/>
      <c r="H337" s="17"/>
      <c r="I337" s="17"/>
      <c r="J337" s="17"/>
      <c r="L337" s="1"/>
      <c r="M337" s="1"/>
      <c r="N337" s="1"/>
      <c r="O337" s="1"/>
      <c r="Y337" s="17"/>
      <c r="Z337" s="17"/>
      <c r="AA337" s="17"/>
      <c r="AB337" s="17"/>
    </row>
    <row r="338" spans="1:28" x14ac:dyDescent="0.3">
      <c r="A338" s="10"/>
      <c r="B338" s="10"/>
      <c r="C338" s="10"/>
      <c r="D338" s="15"/>
      <c r="E338" s="16"/>
      <c r="F338" s="17"/>
      <c r="G338" s="17"/>
      <c r="H338" s="17"/>
      <c r="I338" s="17"/>
      <c r="J338" s="17"/>
      <c r="L338" s="1"/>
      <c r="M338" s="1"/>
      <c r="N338" s="1"/>
      <c r="O338" s="1"/>
      <c r="Y338" s="17"/>
      <c r="Z338" s="17"/>
      <c r="AA338" s="17"/>
      <c r="AB338" s="17"/>
    </row>
    <row r="339" spans="1:28" x14ac:dyDescent="0.3">
      <c r="A339" s="10"/>
      <c r="B339" s="10"/>
      <c r="C339" s="10"/>
      <c r="D339" s="15"/>
      <c r="E339" s="16"/>
      <c r="F339" s="17"/>
      <c r="G339" s="17"/>
      <c r="H339" s="17"/>
      <c r="I339" s="17"/>
      <c r="J339" s="17"/>
      <c r="L339" s="1"/>
      <c r="M339" s="1"/>
      <c r="N339" s="1"/>
      <c r="O339" s="1"/>
      <c r="Y339" s="17"/>
      <c r="Z339" s="17"/>
      <c r="AA339" s="17"/>
      <c r="AB339" s="17"/>
    </row>
    <row r="340" spans="1:28" x14ac:dyDescent="0.3">
      <c r="A340" s="10"/>
      <c r="B340" s="10"/>
      <c r="C340" s="10"/>
      <c r="D340" s="15"/>
      <c r="E340" s="16"/>
      <c r="F340" s="17"/>
      <c r="G340" s="17"/>
      <c r="H340" s="17"/>
      <c r="I340" s="17"/>
      <c r="J340" s="17"/>
      <c r="L340" s="1"/>
      <c r="M340" s="1"/>
      <c r="N340" s="1"/>
      <c r="O340" s="1"/>
      <c r="Y340" s="17"/>
      <c r="Z340" s="17"/>
      <c r="AA340" s="17"/>
      <c r="AB340" s="17"/>
    </row>
    <row r="341" spans="1:28" x14ac:dyDescent="0.3">
      <c r="A341" s="10"/>
      <c r="B341" s="10"/>
      <c r="C341" s="10"/>
      <c r="D341" s="15"/>
      <c r="E341" s="16"/>
      <c r="F341" s="17"/>
      <c r="G341" s="17"/>
      <c r="H341" s="17"/>
      <c r="I341" s="17"/>
      <c r="J341" s="17"/>
      <c r="L341" s="1"/>
      <c r="M341" s="1"/>
      <c r="N341" s="1"/>
      <c r="O341" s="1"/>
      <c r="Y341" s="17"/>
      <c r="Z341" s="17"/>
      <c r="AA341" s="17"/>
      <c r="AB341" s="17"/>
    </row>
    <row r="342" spans="1:28" x14ac:dyDescent="0.3">
      <c r="A342" s="10"/>
      <c r="B342" s="10"/>
      <c r="C342" s="10"/>
      <c r="D342" s="15"/>
      <c r="E342" s="16"/>
      <c r="F342" s="17"/>
      <c r="G342" s="17"/>
      <c r="H342" s="17"/>
      <c r="I342" s="17"/>
      <c r="J342" s="17"/>
      <c r="L342" s="1"/>
      <c r="M342" s="1"/>
      <c r="N342" s="1"/>
      <c r="O342" s="1"/>
      <c r="Y342" s="17"/>
      <c r="Z342" s="17"/>
      <c r="AA342" s="17"/>
      <c r="AB342" s="17"/>
    </row>
    <row r="343" spans="1:28" x14ac:dyDescent="0.3">
      <c r="A343" s="10"/>
      <c r="B343" s="10"/>
      <c r="C343" s="10"/>
      <c r="D343" s="15"/>
      <c r="E343" s="16"/>
      <c r="F343" s="17"/>
      <c r="G343" s="17"/>
      <c r="H343" s="17"/>
      <c r="I343" s="17"/>
      <c r="J343" s="17"/>
      <c r="L343" s="1"/>
      <c r="M343" s="1"/>
      <c r="N343" s="1"/>
      <c r="O343" s="1"/>
      <c r="Y343" s="17"/>
      <c r="Z343" s="17"/>
      <c r="AA343" s="17"/>
      <c r="AB343" s="17"/>
    </row>
    <row r="344" spans="1:28" x14ac:dyDescent="0.3">
      <c r="A344" s="10"/>
      <c r="B344" s="10"/>
      <c r="C344" s="10"/>
      <c r="D344" s="15"/>
      <c r="E344" s="16"/>
      <c r="F344" s="17"/>
      <c r="G344" s="17"/>
      <c r="H344" s="17"/>
      <c r="I344" s="17"/>
      <c r="J344" s="17"/>
      <c r="L344" s="1"/>
      <c r="M344" s="1"/>
      <c r="N344" s="1"/>
      <c r="O344" s="1"/>
      <c r="Y344" s="17"/>
      <c r="Z344" s="17"/>
      <c r="AA344" s="17"/>
      <c r="AB344" s="17"/>
    </row>
    <row r="345" spans="1:28" x14ac:dyDescent="0.3">
      <c r="A345" s="10"/>
      <c r="B345" s="10"/>
      <c r="C345" s="10"/>
      <c r="D345" s="15"/>
      <c r="E345" s="16"/>
      <c r="F345" s="17"/>
      <c r="G345" s="17"/>
      <c r="H345" s="17"/>
      <c r="I345" s="17"/>
      <c r="J345" s="17"/>
      <c r="L345" s="1"/>
      <c r="M345" s="1"/>
      <c r="N345" s="1"/>
      <c r="O345" s="1"/>
      <c r="Y345" s="17"/>
      <c r="Z345" s="17"/>
      <c r="AA345" s="17"/>
      <c r="AB345" s="17"/>
    </row>
    <row r="346" spans="1:28" x14ac:dyDescent="0.3">
      <c r="A346" s="10"/>
      <c r="B346" s="10"/>
      <c r="C346" s="10"/>
      <c r="D346" s="15"/>
      <c r="E346" s="16"/>
      <c r="F346" s="17"/>
      <c r="G346" s="17"/>
      <c r="H346" s="17"/>
      <c r="I346" s="17"/>
      <c r="J346" s="17"/>
      <c r="L346" s="1"/>
      <c r="M346" s="1"/>
      <c r="N346" s="1"/>
      <c r="O346" s="1"/>
      <c r="Y346" s="17"/>
      <c r="Z346" s="17"/>
      <c r="AA346" s="17"/>
      <c r="AB346" s="17"/>
    </row>
    <row r="347" spans="1:28" x14ac:dyDescent="0.3">
      <c r="A347" s="10"/>
      <c r="B347" s="10"/>
      <c r="C347" s="10"/>
      <c r="D347" s="15"/>
      <c r="E347" s="16"/>
      <c r="F347" s="17"/>
      <c r="G347" s="17"/>
      <c r="H347" s="17"/>
      <c r="I347" s="17"/>
      <c r="J347" s="17"/>
      <c r="L347" s="1"/>
      <c r="M347" s="1"/>
      <c r="N347" s="1"/>
      <c r="O347" s="1"/>
      <c r="Y347" s="17"/>
      <c r="Z347" s="17"/>
      <c r="AA347" s="17"/>
      <c r="AB347" s="17"/>
    </row>
    <row r="348" spans="1:28" x14ac:dyDescent="0.3">
      <c r="A348" s="10"/>
      <c r="B348" s="10"/>
      <c r="C348" s="10"/>
      <c r="D348" s="15"/>
      <c r="E348" s="16"/>
      <c r="F348" s="17"/>
      <c r="G348" s="17"/>
      <c r="H348" s="17"/>
      <c r="I348" s="17"/>
      <c r="J348" s="17"/>
      <c r="L348" s="1"/>
      <c r="M348" s="1"/>
      <c r="N348" s="1"/>
      <c r="O348" s="1"/>
      <c r="Y348" s="17"/>
      <c r="Z348" s="17"/>
      <c r="AA348" s="17"/>
      <c r="AB348" s="17"/>
    </row>
    <row r="349" spans="1:28" x14ac:dyDescent="0.3">
      <c r="A349" s="14"/>
      <c r="B349" s="10"/>
      <c r="C349" s="10"/>
      <c r="D349" s="15"/>
      <c r="E349" s="16"/>
      <c r="F349" s="17"/>
      <c r="G349" s="17"/>
      <c r="H349" s="17"/>
      <c r="I349" s="17"/>
      <c r="J349" s="17"/>
      <c r="L349" s="1"/>
      <c r="M349" s="1"/>
      <c r="N349" s="1"/>
      <c r="O349" s="1"/>
      <c r="Y349" s="17"/>
      <c r="Z349" s="17"/>
      <c r="AA349" s="17"/>
      <c r="AB349" s="17"/>
    </row>
    <row r="350" spans="1:28" x14ac:dyDescent="0.3">
      <c r="A350" s="10"/>
      <c r="B350" s="10"/>
      <c r="C350" s="10"/>
      <c r="D350" s="15"/>
      <c r="E350" s="16"/>
      <c r="F350" s="17"/>
      <c r="G350" s="17"/>
      <c r="H350" s="17"/>
      <c r="I350" s="17"/>
      <c r="J350" s="17"/>
      <c r="L350" s="1"/>
      <c r="M350" s="1"/>
      <c r="N350" s="1"/>
      <c r="O350" s="1"/>
      <c r="Y350" s="17"/>
      <c r="Z350" s="17"/>
      <c r="AA350" s="17"/>
      <c r="AB350" s="17"/>
    </row>
    <row r="351" spans="1:28" x14ac:dyDescent="0.3">
      <c r="A351" s="10"/>
      <c r="B351" s="10"/>
      <c r="C351" s="10"/>
      <c r="D351" s="15"/>
      <c r="E351" s="16"/>
      <c r="F351" s="17"/>
      <c r="G351" s="17"/>
      <c r="H351" s="17"/>
      <c r="I351" s="17"/>
      <c r="J351" s="17"/>
      <c r="L351" s="1"/>
      <c r="M351" s="1"/>
      <c r="N351" s="1"/>
      <c r="O351" s="1"/>
      <c r="Y351" s="17"/>
      <c r="Z351" s="17"/>
      <c r="AA351" s="17"/>
      <c r="AB351" s="17"/>
    </row>
    <row r="352" spans="1:28" x14ac:dyDescent="0.3">
      <c r="A352" s="10"/>
      <c r="B352" s="10"/>
      <c r="C352" s="10"/>
      <c r="D352" s="15"/>
      <c r="E352" s="16"/>
      <c r="F352" s="17"/>
      <c r="G352" s="17"/>
      <c r="H352" s="17"/>
      <c r="I352" s="17"/>
      <c r="J352" s="17"/>
      <c r="L352" s="1"/>
      <c r="M352" s="1"/>
      <c r="N352" s="1"/>
      <c r="O352" s="1"/>
      <c r="Y352" s="17"/>
      <c r="Z352" s="17"/>
      <c r="AA352" s="17"/>
      <c r="AB352" s="17"/>
    </row>
    <row r="353" spans="1:28" x14ac:dyDescent="0.3">
      <c r="A353" s="10"/>
      <c r="B353" s="10"/>
      <c r="C353" s="10"/>
      <c r="D353" s="15"/>
      <c r="E353" s="16"/>
      <c r="F353" s="17"/>
      <c r="G353" s="17"/>
      <c r="H353" s="17"/>
      <c r="I353" s="17"/>
      <c r="J353" s="17"/>
      <c r="L353" s="1"/>
      <c r="M353" s="1"/>
      <c r="N353" s="1"/>
      <c r="O353" s="1"/>
      <c r="Y353" s="17"/>
      <c r="Z353" s="17"/>
      <c r="AA353" s="17"/>
      <c r="AB353" s="17"/>
    </row>
    <row r="354" spans="1:28" x14ac:dyDescent="0.3">
      <c r="A354" s="10"/>
      <c r="B354" s="10"/>
      <c r="C354" s="10"/>
      <c r="D354" s="15"/>
      <c r="E354" s="16"/>
      <c r="F354" s="17"/>
      <c r="G354" s="17"/>
      <c r="H354" s="17"/>
      <c r="I354" s="17"/>
      <c r="J354" s="17"/>
      <c r="L354" s="1"/>
      <c r="M354" s="1"/>
      <c r="N354" s="1"/>
      <c r="O354" s="1"/>
      <c r="Y354" s="17"/>
      <c r="Z354" s="17"/>
      <c r="AA354" s="17"/>
      <c r="AB354" s="17"/>
    </row>
    <row r="355" spans="1:28" x14ac:dyDescent="0.3">
      <c r="A355" s="10"/>
      <c r="B355" s="10"/>
      <c r="C355" s="10"/>
      <c r="D355" s="15"/>
      <c r="E355" s="16"/>
      <c r="F355" s="17"/>
      <c r="G355" s="17"/>
      <c r="H355" s="17"/>
      <c r="I355" s="17"/>
      <c r="J355" s="17"/>
      <c r="L355" s="1"/>
      <c r="M355" s="1"/>
      <c r="N355" s="1"/>
      <c r="O355" s="1"/>
      <c r="Y355" s="17"/>
      <c r="Z355" s="17"/>
      <c r="AA355" s="17"/>
      <c r="AB355" s="17"/>
    </row>
    <row r="356" spans="1:28" x14ac:dyDescent="0.3">
      <c r="A356" s="10"/>
      <c r="B356" s="10"/>
      <c r="C356" s="10"/>
      <c r="D356" s="15"/>
      <c r="E356" s="16"/>
      <c r="F356" s="17"/>
      <c r="G356" s="17"/>
      <c r="H356" s="17"/>
      <c r="I356" s="17"/>
      <c r="J356" s="17"/>
      <c r="L356" s="1"/>
      <c r="M356" s="1"/>
      <c r="N356" s="1"/>
      <c r="O356" s="1"/>
      <c r="Y356" s="17"/>
      <c r="Z356" s="17"/>
      <c r="AA356" s="17"/>
      <c r="AB356" s="17"/>
    </row>
    <row r="357" spans="1:28" x14ac:dyDescent="0.3">
      <c r="A357" s="10"/>
      <c r="B357" s="10"/>
      <c r="C357" s="10"/>
      <c r="D357" s="15"/>
      <c r="E357" s="16"/>
      <c r="F357" s="17"/>
      <c r="G357" s="17"/>
      <c r="H357" s="17"/>
      <c r="I357" s="17"/>
      <c r="J357" s="17"/>
      <c r="L357" s="1"/>
      <c r="M357" s="1"/>
      <c r="N357" s="1"/>
      <c r="O357" s="1"/>
      <c r="Y357" s="17"/>
      <c r="Z357" s="17"/>
      <c r="AA357" s="17"/>
      <c r="AB357" s="17"/>
    </row>
    <row r="358" spans="1:28" x14ac:dyDescent="0.3">
      <c r="A358" s="10"/>
      <c r="B358" s="10"/>
      <c r="C358" s="10"/>
      <c r="D358" s="15"/>
      <c r="E358" s="16"/>
      <c r="F358" s="17"/>
      <c r="G358" s="17"/>
      <c r="H358" s="17"/>
      <c r="I358" s="17"/>
      <c r="J358" s="17"/>
      <c r="L358" s="1"/>
      <c r="M358" s="1"/>
      <c r="N358" s="1"/>
      <c r="O358" s="1"/>
      <c r="Y358" s="17"/>
      <c r="Z358" s="17"/>
      <c r="AA358" s="17"/>
      <c r="AB358" s="17"/>
    </row>
    <row r="359" spans="1:28" x14ac:dyDescent="0.3">
      <c r="A359" s="10"/>
      <c r="B359" s="10"/>
      <c r="C359" s="10"/>
      <c r="D359" s="15"/>
      <c r="E359" s="16"/>
      <c r="F359" s="17"/>
      <c r="G359" s="17"/>
      <c r="H359" s="17"/>
      <c r="I359" s="17"/>
      <c r="J359" s="17"/>
      <c r="L359" s="1"/>
      <c r="M359" s="1"/>
      <c r="N359" s="1"/>
      <c r="O359" s="1"/>
      <c r="Y359" s="17"/>
      <c r="Z359" s="17"/>
      <c r="AA359" s="17"/>
      <c r="AB359" s="17"/>
    </row>
    <row r="360" spans="1:28" x14ac:dyDescent="0.3">
      <c r="A360" s="10"/>
      <c r="B360" s="10"/>
      <c r="C360" s="10"/>
      <c r="D360" s="15"/>
      <c r="E360" s="16"/>
      <c r="F360" s="17"/>
      <c r="G360" s="17"/>
      <c r="H360" s="17"/>
      <c r="I360" s="17"/>
      <c r="J360" s="17"/>
      <c r="L360" s="1"/>
      <c r="M360" s="1"/>
      <c r="N360" s="1"/>
      <c r="O360" s="1"/>
      <c r="Y360" s="17"/>
      <c r="Z360" s="17"/>
      <c r="AA360" s="17"/>
      <c r="AB360" s="17"/>
    </row>
    <row r="361" spans="1:28" x14ac:dyDescent="0.3">
      <c r="A361" s="10"/>
      <c r="B361" s="10"/>
      <c r="C361" s="10"/>
      <c r="D361" s="15"/>
      <c r="E361" s="16"/>
      <c r="F361" s="17"/>
      <c r="G361" s="17"/>
      <c r="H361" s="17"/>
      <c r="I361" s="17"/>
      <c r="J361" s="17"/>
      <c r="L361" s="1"/>
      <c r="M361" s="1"/>
      <c r="N361" s="1"/>
      <c r="O361" s="1"/>
      <c r="Y361" s="17"/>
      <c r="Z361" s="17"/>
      <c r="AA361" s="17"/>
      <c r="AB361" s="17"/>
    </row>
    <row r="362" spans="1:28" x14ac:dyDescent="0.3">
      <c r="A362" s="10"/>
      <c r="B362" s="10"/>
      <c r="C362" s="10"/>
      <c r="D362" s="15"/>
      <c r="E362" s="16"/>
      <c r="F362" s="17"/>
      <c r="G362" s="17"/>
      <c r="H362" s="17"/>
      <c r="I362" s="17"/>
      <c r="J362" s="17"/>
      <c r="L362" s="1"/>
      <c r="M362" s="1"/>
      <c r="N362" s="1"/>
      <c r="O362" s="1"/>
      <c r="Y362" s="17"/>
      <c r="Z362" s="17"/>
      <c r="AA362" s="17"/>
      <c r="AB362" s="17"/>
    </row>
    <row r="363" spans="1:28" x14ac:dyDescent="0.3">
      <c r="A363" s="10"/>
      <c r="B363" s="10"/>
      <c r="C363" s="10"/>
      <c r="D363" s="15"/>
      <c r="E363" s="16"/>
      <c r="F363" s="17"/>
      <c r="G363" s="17"/>
      <c r="H363" s="17"/>
      <c r="I363" s="17"/>
      <c r="J363" s="17"/>
      <c r="L363" s="1"/>
      <c r="M363" s="1"/>
      <c r="N363" s="1"/>
      <c r="O363" s="1"/>
      <c r="Y363" s="17"/>
      <c r="Z363" s="17"/>
      <c r="AA363" s="17"/>
      <c r="AB363" s="17"/>
    </row>
    <row r="364" spans="1:28" x14ac:dyDescent="0.3">
      <c r="A364" s="10"/>
      <c r="B364" s="10"/>
      <c r="C364" s="10"/>
      <c r="D364" s="15"/>
      <c r="E364" s="16"/>
      <c r="F364" s="17"/>
      <c r="G364" s="17"/>
      <c r="H364" s="17"/>
      <c r="I364" s="17"/>
      <c r="J364" s="17"/>
      <c r="L364" s="1"/>
      <c r="M364" s="1"/>
      <c r="N364" s="1"/>
      <c r="O364" s="1"/>
      <c r="Y364" s="17"/>
      <c r="Z364" s="17"/>
      <c r="AA364" s="17"/>
      <c r="AB364" s="17"/>
    </row>
    <row r="365" spans="1:28" x14ac:dyDescent="0.3">
      <c r="A365" s="10"/>
      <c r="B365" s="10"/>
      <c r="C365" s="10"/>
      <c r="D365" s="15"/>
      <c r="E365" s="16"/>
      <c r="F365" s="17"/>
      <c r="G365" s="17"/>
      <c r="H365" s="17"/>
      <c r="I365" s="17"/>
      <c r="J365" s="17"/>
      <c r="L365" s="1"/>
      <c r="M365" s="1"/>
      <c r="N365" s="1"/>
      <c r="O365" s="1"/>
      <c r="Y365" s="17"/>
      <c r="Z365" s="17"/>
      <c r="AA365" s="17"/>
      <c r="AB365" s="17"/>
    </row>
    <row r="366" spans="1:28" x14ac:dyDescent="0.3">
      <c r="A366" s="10"/>
      <c r="B366" s="10"/>
      <c r="C366" s="10"/>
      <c r="D366" s="15"/>
      <c r="E366" s="16"/>
      <c r="F366" s="17"/>
      <c r="G366" s="17"/>
      <c r="H366" s="17"/>
      <c r="I366" s="17"/>
      <c r="J366" s="17"/>
      <c r="L366" s="1"/>
      <c r="M366" s="1"/>
      <c r="N366" s="1"/>
      <c r="O366" s="1"/>
      <c r="Y366" s="17"/>
      <c r="Z366" s="17"/>
      <c r="AA366" s="17"/>
      <c r="AB366" s="17"/>
    </row>
    <row r="367" spans="1:28" x14ac:dyDescent="0.3">
      <c r="A367" s="10"/>
      <c r="B367" s="10"/>
      <c r="C367" s="10"/>
      <c r="D367" s="15"/>
      <c r="E367" s="16"/>
      <c r="F367" s="17"/>
      <c r="G367" s="17"/>
      <c r="H367" s="17"/>
      <c r="I367" s="17"/>
      <c r="J367" s="17"/>
      <c r="L367" s="1"/>
      <c r="M367" s="1"/>
      <c r="N367" s="1"/>
      <c r="O367" s="1"/>
      <c r="Y367" s="17"/>
      <c r="Z367" s="17"/>
      <c r="AA367" s="17"/>
      <c r="AB367" s="17"/>
    </row>
    <row r="368" spans="1:28" x14ac:dyDescent="0.3">
      <c r="A368" s="10"/>
      <c r="B368" s="10"/>
      <c r="C368" s="10"/>
      <c r="D368" s="15"/>
      <c r="E368" s="16"/>
      <c r="F368" s="17"/>
      <c r="G368" s="17"/>
      <c r="H368" s="17"/>
      <c r="I368" s="17"/>
      <c r="J368" s="17"/>
      <c r="L368" s="1"/>
      <c r="M368" s="1"/>
      <c r="N368" s="1"/>
      <c r="O368" s="1"/>
      <c r="Y368" s="17"/>
      <c r="Z368" s="17"/>
      <c r="AA368" s="17"/>
      <c r="AB368" s="17"/>
    </row>
    <row r="369" spans="1:28" x14ac:dyDescent="0.3">
      <c r="A369" s="10"/>
      <c r="B369" s="10"/>
      <c r="C369" s="10"/>
      <c r="D369" s="15"/>
      <c r="E369" s="16"/>
      <c r="F369" s="17"/>
      <c r="G369" s="17"/>
      <c r="H369" s="17"/>
      <c r="I369" s="17"/>
      <c r="J369" s="17"/>
      <c r="L369" s="1"/>
      <c r="M369" s="1"/>
      <c r="N369" s="1"/>
      <c r="O369" s="1"/>
      <c r="Y369" s="17"/>
      <c r="Z369" s="17"/>
      <c r="AA369" s="17"/>
      <c r="AB369" s="17"/>
    </row>
    <row r="370" spans="1:28" x14ac:dyDescent="0.3">
      <c r="A370" s="10"/>
      <c r="B370" s="10"/>
      <c r="C370" s="10"/>
      <c r="D370" s="15"/>
      <c r="E370" s="16"/>
      <c r="F370" s="17"/>
      <c r="G370" s="17"/>
      <c r="H370" s="17"/>
      <c r="I370" s="17"/>
      <c r="J370" s="17"/>
      <c r="L370" s="1"/>
      <c r="M370" s="1"/>
      <c r="N370" s="1"/>
      <c r="O370" s="1"/>
      <c r="Y370" s="17"/>
      <c r="Z370" s="17"/>
      <c r="AA370" s="17"/>
      <c r="AB370" s="17"/>
    </row>
    <row r="371" spans="1:28" x14ac:dyDescent="0.3">
      <c r="A371" s="10"/>
      <c r="B371" s="10"/>
      <c r="C371" s="10"/>
      <c r="D371" s="15"/>
      <c r="E371" s="16"/>
      <c r="F371" s="17"/>
      <c r="G371" s="17"/>
      <c r="H371" s="17"/>
      <c r="I371" s="17"/>
      <c r="J371" s="17"/>
      <c r="L371" s="1"/>
      <c r="M371" s="1"/>
      <c r="N371" s="1"/>
      <c r="O371" s="1"/>
      <c r="Y371" s="17"/>
      <c r="Z371" s="17"/>
      <c r="AA371" s="17"/>
      <c r="AB371" s="17"/>
    </row>
    <row r="372" spans="1:28" x14ac:dyDescent="0.3">
      <c r="A372" s="10"/>
      <c r="B372" s="10"/>
      <c r="C372" s="10"/>
      <c r="D372" s="15"/>
      <c r="E372" s="16"/>
      <c r="F372" s="17"/>
      <c r="G372" s="17"/>
      <c r="H372" s="17"/>
      <c r="I372" s="17"/>
      <c r="J372" s="17"/>
      <c r="L372" s="1"/>
      <c r="M372" s="1"/>
      <c r="N372" s="1"/>
      <c r="O372" s="1"/>
      <c r="Y372" s="17"/>
      <c r="Z372" s="17"/>
      <c r="AA372" s="17"/>
      <c r="AB372" s="17"/>
    </row>
    <row r="373" spans="1:28" x14ac:dyDescent="0.3">
      <c r="A373" s="10"/>
      <c r="B373" s="10"/>
      <c r="C373" s="10"/>
      <c r="D373" s="15"/>
      <c r="E373" s="16"/>
      <c r="F373" s="17"/>
      <c r="G373" s="17"/>
      <c r="H373" s="17"/>
      <c r="I373" s="17"/>
      <c r="J373" s="17"/>
      <c r="L373" s="1"/>
      <c r="M373" s="1"/>
      <c r="N373" s="1"/>
      <c r="O373" s="1"/>
      <c r="Y373" s="17"/>
      <c r="Z373" s="17"/>
      <c r="AA373" s="17"/>
      <c r="AB373" s="17"/>
    </row>
    <row r="374" spans="1:28" x14ac:dyDescent="0.3">
      <c r="A374" s="10"/>
      <c r="B374" s="10"/>
      <c r="C374" s="10"/>
      <c r="D374" s="15"/>
      <c r="E374" s="16"/>
      <c r="F374" s="17"/>
      <c r="G374" s="17"/>
      <c r="H374" s="17"/>
      <c r="I374" s="17"/>
      <c r="J374" s="17"/>
      <c r="L374" s="1"/>
      <c r="M374" s="1"/>
      <c r="N374" s="1"/>
      <c r="O374" s="1"/>
      <c r="Y374" s="17"/>
      <c r="Z374" s="17"/>
      <c r="AA374" s="17"/>
      <c r="AB374" s="17"/>
    </row>
    <row r="375" spans="1:28" x14ac:dyDescent="0.3">
      <c r="A375"/>
      <c r="B375" s="10"/>
      <c r="C375" s="10"/>
      <c r="D375" s="15"/>
      <c r="E375" s="16"/>
      <c r="F375" s="17"/>
      <c r="G375" s="17"/>
      <c r="H375" s="17"/>
      <c r="I375" s="17"/>
      <c r="J375" s="17"/>
      <c r="L375" s="1"/>
      <c r="M375" s="1"/>
      <c r="N375" s="1"/>
      <c r="O375" s="1"/>
      <c r="Y375" s="17"/>
      <c r="Z375" s="17"/>
      <c r="AA375" s="17"/>
      <c r="AB375" s="17"/>
    </row>
    <row r="376" spans="1:28" x14ac:dyDescent="0.3">
      <c r="A376" s="10"/>
      <c r="B376" s="10"/>
      <c r="C376" s="10"/>
      <c r="D376" s="15"/>
      <c r="E376" s="16"/>
      <c r="F376" s="17"/>
      <c r="G376" s="17"/>
      <c r="H376" s="17"/>
      <c r="I376" s="17"/>
      <c r="J376" s="17"/>
      <c r="L376" s="1"/>
      <c r="M376" s="1"/>
      <c r="N376" s="1"/>
      <c r="O376" s="1"/>
      <c r="Y376" s="17"/>
      <c r="Z376" s="17"/>
      <c r="AA376" s="17"/>
      <c r="AB376" s="17"/>
    </row>
    <row r="377" spans="1:28" x14ac:dyDescent="0.3">
      <c r="A377" s="10"/>
      <c r="B377" s="10"/>
      <c r="C377" s="10"/>
      <c r="D377" s="15"/>
      <c r="E377" s="16"/>
      <c r="F377" s="17"/>
      <c r="G377" s="17"/>
      <c r="H377" s="17"/>
      <c r="I377" s="17"/>
      <c r="J377" s="17"/>
      <c r="L377" s="1"/>
      <c r="M377" s="1"/>
      <c r="N377" s="1"/>
      <c r="O377" s="1"/>
      <c r="Y377" s="17"/>
      <c r="Z377" s="17"/>
      <c r="AA377" s="17"/>
      <c r="AB377" s="17"/>
    </row>
    <row r="378" spans="1:28" x14ac:dyDescent="0.3">
      <c r="A378" s="10"/>
      <c r="B378" s="10"/>
      <c r="C378" s="10"/>
      <c r="D378" s="15"/>
      <c r="E378" s="16"/>
      <c r="F378" s="17"/>
      <c r="G378" s="17"/>
      <c r="H378" s="17"/>
      <c r="I378" s="17"/>
      <c r="J378" s="17"/>
      <c r="L378" s="1"/>
      <c r="M378" s="1"/>
      <c r="N378" s="1"/>
      <c r="O378" s="1"/>
      <c r="Y378" s="17"/>
      <c r="Z378" s="17"/>
      <c r="AA378" s="17"/>
      <c r="AB378" s="17"/>
    </row>
    <row r="379" spans="1:28" x14ac:dyDescent="0.3">
      <c r="A379" s="10"/>
      <c r="B379" s="10"/>
      <c r="C379" s="10"/>
      <c r="D379" s="15"/>
      <c r="E379" s="16"/>
      <c r="F379" s="17"/>
      <c r="G379" s="17"/>
      <c r="H379" s="17"/>
      <c r="I379" s="17"/>
      <c r="J379" s="17"/>
      <c r="L379" s="1"/>
      <c r="M379" s="1"/>
      <c r="N379" s="1"/>
      <c r="O379" s="1"/>
      <c r="Y379" s="17"/>
      <c r="Z379" s="17"/>
      <c r="AA379" s="17"/>
      <c r="AB379" s="17"/>
    </row>
    <row r="380" spans="1:28" x14ac:dyDescent="0.3">
      <c r="A380" s="10"/>
      <c r="B380" s="10"/>
      <c r="C380" s="10"/>
      <c r="D380" s="15"/>
      <c r="E380" s="16"/>
      <c r="F380" s="17"/>
      <c r="G380" s="17"/>
      <c r="H380" s="17"/>
      <c r="I380" s="17"/>
      <c r="J380" s="17"/>
      <c r="L380" s="1"/>
      <c r="M380" s="1"/>
      <c r="N380" s="1"/>
      <c r="O380" s="1"/>
      <c r="Y380" s="17"/>
      <c r="Z380" s="17"/>
      <c r="AA380" s="17"/>
      <c r="AB380" s="17"/>
    </row>
    <row r="381" spans="1:28" x14ac:dyDescent="0.3">
      <c r="A381" s="10"/>
      <c r="B381" s="10"/>
      <c r="C381" s="10"/>
      <c r="D381" s="15"/>
      <c r="E381" s="16"/>
      <c r="F381" s="17"/>
      <c r="G381" s="17"/>
      <c r="H381" s="17"/>
      <c r="I381" s="17"/>
      <c r="J381" s="17"/>
      <c r="L381" s="1"/>
      <c r="M381" s="1"/>
      <c r="N381" s="1"/>
      <c r="O381" s="1"/>
      <c r="Y381" s="17"/>
      <c r="Z381" s="17"/>
      <c r="AA381" s="17"/>
      <c r="AB381" s="17"/>
    </row>
    <row r="382" spans="1:28" x14ac:dyDescent="0.3">
      <c r="A382" s="10"/>
      <c r="B382" s="10"/>
      <c r="C382" s="10"/>
      <c r="D382" s="15"/>
      <c r="E382" s="16"/>
      <c r="F382" s="17"/>
      <c r="G382" s="17"/>
      <c r="H382" s="17"/>
      <c r="I382" s="17"/>
      <c r="J382" s="17"/>
      <c r="L382" s="1"/>
      <c r="M382" s="1"/>
      <c r="N382" s="1"/>
      <c r="O382" s="1"/>
      <c r="Y382" s="17"/>
      <c r="Z382" s="17"/>
      <c r="AA382" s="17"/>
      <c r="AB382" s="17"/>
    </row>
    <row r="383" spans="1:28" x14ac:dyDescent="0.3">
      <c r="A383" s="10"/>
      <c r="B383" s="10"/>
      <c r="C383" s="10"/>
      <c r="D383" s="15"/>
      <c r="E383" s="16"/>
      <c r="F383" s="17"/>
      <c r="G383" s="17"/>
      <c r="H383" s="17"/>
      <c r="I383" s="17"/>
      <c r="J383" s="17"/>
      <c r="L383" s="1"/>
      <c r="M383" s="1"/>
      <c r="N383" s="1"/>
      <c r="O383" s="1"/>
      <c r="Y383" s="17"/>
      <c r="Z383" s="17"/>
      <c r="AA383" s="17"/>
      <c r="AB383" s="17"/>
    </row>
    <row r="384" spans="1:28" x14ac:dyDescent="0.3">
      <c r="A384" s="10"/>
      <c r="B384" s="10"/>
      <c r="C384" s="10"/>
      <c r="D384" s="15"/>
      <c r="E384" s="16"/>
      <c r="F384" s="17"/>
      <c r="G384" s="17"/>
      <c r="H384" s="17"/>
      <c r="I384" s="17"/>
      <c r="J384" s="17"/>
      <c r="L384" s="1"/>
      <c r="M384" s="1"/>
      <c r="N384" s="1"/>
      <c r="O384" s="1"/>
      <c r="Y384" s="17"/>
      <c r="Z384" s="17"/>
      <c r="AA384" s="17"/>
      <c r="AB384" s="17"/>
    </row>
    <row r="385" spans="1:28" x14ac:dyDescent="0.3">
      <c r="A385" s="10"/>
      <c r="B385" s="10"/>
      <c r="C385" s="10"/>
      <c r="D385" s="15"/>
      <c r="E385" s="16"/>
      <c r="F385" s="17"/>
      <c r="G385" s="17"/>
      <c r="H385" s="17"/>
      <c r="I385" s="17"/>
      <c r="J385" s="17"/>
      <c r="L385" s="1"/>
      <c r="M385" s="1"/>
      <c r="N385" s="1"/>
      <c r="O385" s="1"/>
      <c r="Y385" s="17"/>
      <c r="Z385" s="17"/>
      <c r="AA385" s="17"/>
      <c r="AB385" s="17"/>
    </row>
    <row r="386" spans="1:28" x14ac:dyDescent="0.3">
      <c r="A386" s="10"/>
      <c r="B386" s="10"/>
      <c r="C386" s="10"/>
      <c r="D386" s="15"/>
      <c r="E386" s="16"/>
      <c r="F386" s="17"/>
      <c r="G386" s="17"/>
      <c r="H386" s="17"/>
      <c r="I386" s="17"/>
      <c r="J386" s="17"/>
      <c r="L386" s="1"/>
      <c r="M386" s="1"/>
      <c r="N386" s="1"/>
      <c r="O386" s="1"/>
      <c r="Y386" s="17"/>
      <c r="Z386" s="17"/>
      <c r="AA386" s="17"/>
      <c r="AB386" s="17"/>
    </row>
    <row r="387" spans="1:28" x14ac:dyDescent="0.3">
      <c r="A387" s="10"/>
      <c r="B387" s="10"/>
      <c r="C387" s="10"/>
      <c r="D387" s="15"/>
      <c r="E387" s="16"/>
      <c r="F387" s="17"/>
      <c r="G387" s="17"/>
      <c r="H387" s="17"/>
      <c r="I387" s="17"/>
      <c r="J387" s="17"/>
      <c r="L387" s="1"/>
      <c r="M387" s="1"/>
      <c r="N387" s="1"/>
      <c r="O387" s="1"/>
      <c r="Y387" s="17"/>
      <c r="Z387" s="17"/>
      <c r="AA387" s="17"/>
      <c r="AB387" s="17"/>
    </row>
    <row r="388" spans="1:28" x14ac:dyDescent="0.3">
      <c r="A388" s="10"/>
      <c r="B388" s="10"/>
      <c r="C388" s="10"/>
      <c r="D388" s="15"/>
      <c r="E388" s="16"/>
      <c r="F388" s="17"/>
      <c r="G388" s="17"/>
      <c r="H388" s="17"/>
      <c r="I388" s="17"/>
      <c r="J388" s="17"/>
      <c r="L388" s="1"/>
      <c r="M388" s="1"/>
      <c r="N388" s="1"/>
      <c r="O388" s="1"/>
      <c r="Y388" s="17"/>
      <c r="Z388" s="17"/>
      <c r="AA388" s="17"/>
      <c r="AB388" s="17"/>
    </row>
    <row r="389" spans="1:28" x14ac:dyDescent="0.3">
      <c r="A389" s="10"/>
      <c r="B389" s="10"/>
      <c r="C389" s="10"/>
      <c r="D389" s="15"/>
      <c r="E389" s="16"/>
      <c r="F389" s="17"/>
      <c r="G389" s="17"/>
      <c r="H389" s="17"/>
      <c r="I389" s="17"/>
      <c r="J389" s="17"/>
      <c r="L389" s="1"/>
      <c r="M389" s="1"/>
      <c r="N389" s="1"/>
      <c r="O389" s="1"/>
      <c r="Y389" s="17"/>
      <c r="Z389" s="17"/>
      <c r="AA389" s="17"/>
      <c r="AB389" s="17"/>
    </row>
    <row r="390" spans="1:28" x14ac:dyDescent="0.3">
      <c r="A390" s="10"/>
      <c r="B390" s="10"/>
      <c r="C390" s="10"/>
      <c r="D390" s="15"/>
      <c r="E390" s="16"/>
      <c r="F390" s="17"/>
      <c r="G390" s="17"/>
      <c r="H390" s="17"/>
      <c r="I390" s="17"/>
      <c r="J390" s="17"/>
      <c r="L390" s="1"/>
      <c r="M390" s="1"/>
      <c r="N390" s="1"/>
      <c r="O390" s="1"/>
      <c r="Y390" s="17"/>
      <c r="Z390" s="17"/>
      <c r="AA390" s="17"/>
      <c r="AB390" s="17"/>
    </row>
    <row r="391" spans="1:28" x14ac:dyDescent="0.3">
      <c r="A391" s="10"/>
      <c r="B391" s="10"/>
      <c r="C391" s="10"/>
      <c r="D391" s="15"/>
      <c r="E391" s="16"/>
      <c r="F391" s="17"/>
      <c r="G391" s="17"/>
      <c r="H391" s="17"/>
      <c r="I391" s="17"/>
      <c r="J391" s="17"/>
      <c r="L391" s="1"/>
      <c r="M391" s="1"/>
      <c r="N391" s="1"/>
      <c r="O391" s="1"/>
      <c r="Y391" s="17"/>
      <c r="Z391" s="17"/>
      <c r="AA391" s="17"/>
      <c r="AB391" s="17"/>
    </row>
    <row r="392" spans="1:28" x14ac:dyDescent="0.3">
      <c r="A392" s="10"/>
      <c r="B392" s="10"/>
      <c r="C392" s="10"/>
      <c r="D392" s="15"/>
      <c r="E392" s="16"/>
      <c r="F392" s="17"/>
      <c r="G392" s="17"/>
      <c r="H392" s="17"/>
      <c r="I392" s="17"/>
      <c r="J392" s="17"/>
      <c r="L392" s="1"/>
      <c r="M392" s="1"/>
      <c r="N392" s="1"/>
      <c r="O392" s="1"/>
      <c r="Y392" s="17"/>
      <c r="Z392" s="17"/>
      <c r="AA392" s="17"/>
      <c r="AB392" s="17"/>
    </row>
    <row r="393" spans="1:28" x14ac:dyDescent="0.3">
      <c r="A393" s="10"/>
      <c r="B393" s="10"/>
      <c r="C393" s="10"/>
      <c r="D393" s="15"/>
      <c r="E393" s="16"/>
      <c r="F393" s="17"/>
      <c r="G393" s="17"/>
      <c r="H393" s="17"/>
      <c r="I393" s="17"/>
      <c r="J393" s="17"/>
      <c r="L393" s="1"/>
      <c r="M393" s="1"/>
      <c r="N393" s="1"/>
      <c r="O393" s="1"/>
      <c r="Y393" s="17"/>
      <c r="Z393" s="17"/>
      <c r="AA393" s="17"/>
      <c r="AB393" s="17"/>
    </row>
    <row r="394" spans="1:28" x14ac:dyDescent="0.3">
      <c r="A394" s="10"/>
      <c r="B394" s="10"/>
      <c r="C394" s="10"/>
      <c r="D394" s="15"/>
      <c r="E394" s="16"/>
      <c r="F394" s="17"/>
      <c r="G394" s="17"/>
      <c r="H394" s="17"/>
      <c r="I394" s="17"/>
      <c r="J394" s="17"/>
      <c r="L394" s="1"/>
      <c r="M394" s="1"/>
      <c r="N394" s="1"/>
      <c r="O394" s="1"/>
      <c r="Y394" s="17"/>
      <c r="Z394" s="17"/>
      <c r="AA394" s="17"/>
      <c r="AB394" s="17"/>
    </row>
    <row r="395" spans="1:28" x14ac:dyDescent="0.3">
      <c r="A395" s="10"/>
      <c r="B395" s="10"/>
      <c r="C395" s="10"/>
      <c r="D395" s="15"/>
      <c r="E395" s="16"/>
      <c r="F395" s="17"/>
      <c r="G395" s="17"/>
      <c r="H395" s="17"/>
      <c r="I395" s="17"/>
      <c r="J395" s="17"/>
      <c r="L395" s="1"/>
      <c r="M395" s="1"/>
      <c r="N395" s="1"/>
      <c r="O395" s="1"/>
      <c r="Y395" s="17"/>
      <c r="Z395" s="17"/>
      <c r="AA395" s="17"/>
      <c r="AB395" s="17"/>
    </row>
    <row r="396" spans="1:28" x14ac:dyDescent="0.3">
      <c r="A396" s="10"/>
      <c r="B396" s="10"/>
      <c r="C396" s="10"/>
      <c r="D396" s="15"/>
      <c r="E396" s="16"/>
      <c r="F396" s="17"/>
      <c r="G396" s="17"/>
      <c r="H396" s="17"/>
      <c r="I396" s="17"/>
      <c r="J396" s="17"/>
      <c r="L396" s="1"/>
      <c r="M396" s="1"/>
      <c r="N396" s="1"/>
      <c r="O396" s="1"/>
      <c r="Y396" s="17"/>
      <c r="Z396" s="17"/>
      <c r="AA396" s="17"/>
      <c r="AB396" s="17"/>
    </row>
    <row r="397" spans="1:28" x14ac:dyDescent="0.3">
      <c r="A397" s="10"/>
      <c r="B397" s="10"/>
      <c r="C397" s="10"/>
      <c r="D397" s="15"/>
      <c r="E397" s="16"/>
      <c r="F397" s="17"/>
      <c r="G397" s="17"/>
      <c r="H397" s="17"/>
      <c r="I397" s="17"/>
      <c r="J397" s="17"/>
      <c r="L397" s="1"/>
      <c r="M397" s="1"/>
      <c r="N397" s="1"/>
      <c r="O397" s="1"/>
      <c r="Y397" s="17"/>
      <c r="Z397" s="17"/>
      <c r="AA397" s="17"/>
      <c r="AB397" s="17"/>
    </row>
    <row r="398" spans="1:28" x14ac:dyDescent="0.3">
      <c r="A398" s="10"/>
      <c r="B398" s="10"/>
      <c r="C398" s="10"/>
      <c r="D398" s="15"/>
      <c r="E398" s="16"/>
      <c r="F398" s="17"/>
      <c r="G398" s="17"/>
      <c r="H398" s="17"/>
      <c r="I398" s="17"/>
      <c r="J398" s="17"/>
      <c r="L398" s="1"/>
      <c r="M398" s="1"/>
      <c r="N398" s="1"/>
      <c r="O398" s="1"/>
      <c r="Y398" s="17"/>
      <c r="Z398" s="17"/>
      <c r="AA398" s="17"/>
      <c r="AB398" s="17"/>
    </row>
    <row r="399" spans="1:28" x14ac:dyDescent="0.3">
      <c r="A399" s="10"/>
      <c r="B399" s="10"/>
      <c r="C399" s="10"/>
      <c r="D399" s="15"/>
      <c r="E399" s="16"/>
      <c r="F399" s="17"/>
      <c r="G399" s="17"/>
      <c r="H399" s="17"/>
      <c r="I399" s="17"/>
      <c r="J399" s="17"/>
      <c r="L399" s="1"/>
      <c r="M399" s="1"/>
      <c r="N399" s="1"/>
      <c r="O399" s="1"/>
      <c r="Y399" s="17"/>
      <c r="Z399" s="17"/>
      <c r="AA399" s="17"/>
      <c r="AB399" s="17"/>
    </row>
    <row r="400" spans="1:28" x14ac:dyDescent="0.3">
      <c r="A400" s="10"/>
      <c r="B400" s="10"/>
      <c r="C400" s="10"/>
      <c r="D400" s="15"/>
      <c r="E400" s="16"/>
      <c r="F400" s="17"/>
      <c r="G400" s="17"/>
      <c r="H400" s="17"/>
      <c r="I400" s="17"/>
      <c r="J400" s="17"/>
      <c r="L400" s="1"/>
      <c r="M400" s="1"/>
      <c r="N400" s="1"/>
      <c r="O400" s="1"/>
      <c r="Y400" s="17"/>
      <c r="Z400" s="17"/>
      <c r="AA400" s="17"/>
      <c r="AB400" s="17"/>
    </row>
    <row r="401" spans="1:28" x14ac:dyDescent="0.3">
      <c r="A401" s="10"/>
      <c r="B401" s="10"/>
      <c r="C401" s="10"/>
      <c r="D401" s="15"/>
      <c r="E401" s="16"/>
      <c r="F401" s="17"/>
      <c r="G401" s="17"/>
      <c r="H401" s="17"/>
      <c r="I401" s="17"/>
      <c r="J401" s="17"/>
      <c r="L401" s="1"/>
      <c r="M401" s="1"/>
      <c r="N401" s="1"/>
      <c r="O401" s="1"/>
      <c r="Y401" s="17"/>
      <c r="Z401" s="17"/>
      <c r="AA401" s="17"/>
      <c r="AB401" s="17"/>
    </row>
    <row r="402" spans="1:28" x14ac:dyDescent="0.3">
      <c r="A402" s="10"/>
      <c r="B402" s="10"/>
      <c r="C402" s="10"/>
      <c r="D402" s="15"/>
      <c r="E402" s="16"/>
      <c r="F402" s="17"/>
      <c r="G402" s="17"/>
      <c r="H402" s="17"/>
      <c r="I402" s="17"/>
      <c r="J402" s="17"/>
      <c r="L402" s="1"/>
      <c r="M402" s="1"/>
      <c r="N402" s="1"/>
      <c r="O402" s="1"/>
      <c r="Y402" s="17"/>
      <c r="Z402" s="17"/>
      <c r="AA402" s="17"/>
      <c r="AB402" s="17"/>
    </row>
    <row r="403" spans="1:28" x14ac:dyDescent="0.3">
      <c r="A403" s="10"/>
      <c r="B403" s="10"/>
      <c r="C403" s="10"/>
      <c r="D403" s="15"/>
      <c r="E403" s="16"/>
      <c r="F403" s="17"/>
      <c r="G403" s="17"/>
      <c r="H403" s="17"/>
      <c r="I403" s="17"/>
      <c r="J403" s="17"/>
      <c r="L403" s="1"/>
      <c r="M403" s="1"/>
      <c r="N403" s="1"/>
      <c r="O403" s="1"/>
      <c r="Y403" s="17"/>
      <c r="Z403" s="17"/>
      <c r="AA403" s="17"/>
      <c r="AB403" s="17"/>
    </row>
    <row r="404" spans="1:28" x14ac:dyDescent="0.3">
      <c r="A404" s="10"/>
      <c r="B404" s="10"/>
      <c r="C404" s="10"/>
      <c r="D404" s="15"/>
      <c r="E404" s="16"/>
      <c r="F404" s="17"/>
      <c r="G404" s="17"/>
      <c r="H404" s="17"/>
      <c r="I404" s="17"/>
      <c r="J404" s="17"/>
      <c r="L404" s="1"/>
      <c r="M404" s="1"/>
      <c r="N404" s="1"/>
      <c r="O404" s="1"/>
      <c r="Y404" s="17"/>
      <c r="Z404" s="17"/>
      <c r="AA404" s="17"/>
      <c r="AB404" s="17"/>
    </row>
    <row r="405" spans="1:28" x14ac:dyDescent="0.3">
      <c r="A405" s="10"/>
      <c r="B405" s="10"/>
      <c r="C405" s="10"/>
      <c r="D405" s="15"/>
      <c r="E405" s="16"/>
      <c r="F405" s="17"/>
      <c r="G405" s="17"/>
      <c r="H405" s="17"/>
      <c r="I405" s="17"/>
      <c r="J405" s="17"/>
      <c r="L405" s="1"/>
      <c r="M405" s="1"/>
      <c r="N405" s="1"/>
      <c r="O405" s="1"/>
      <c r="Y405" s="17"/>
      <c r="Z405" s="17"/>
      <c r="AA405" s="17"/>
      <c r="AB405" s="17"/>
    </row>
    <row r="406" spans="1:28" x14ac:dyDescent="0.3">
      <c r="A406" s="10"/>
      <c r="B406" s="10"/>
      <c r="C406" s="10"/>
      <c r="D406" s="15"/>
      <c r="E406" s="16"/>
      <c r="F406" s="17"/>
      <c r="G406" s="17"/>
      <c r="H406" s="17"/>
      <c r="I406" s="17"/>
      <c r="J406" s="17"/>
      <c r="L406" s="1"/>
      <c r="M406" s="1"/>
      <c r="N406" s="1"/>
      <c r="O406" s="1"/>
      <c r="Y406" s="17"/>
      <c r="Z406" s="17"/>
      <c r="AA406" s="17"/>
      <c r="AB406" s="17"/>
    </row>
    <row r="407" spans="1:28" x14ac:dyDescent="0.3">
      <c r="A407" s="10"/>
      <c r="B407" s="10"/>
      <c r="C407" s="10"/>
      <c r="D407" s="15"/>
      <c r="E407" s="16"/>
      <c r="F407" s="17"/>
      <c r="G407" s="17"/>
      <c r="H407" s="17"/>
      <c r="I407" s="17"/>
      <c r="J407" s="17"/>
      <c r="L407" s="1"/>
      <c r="M407" s="1"/>
      <c r="N407" s="1"/>
      <c r="O407" s="1"/>
      <c r="Y407" s="17"/>
      <c r="Z407" s="17"/>
      <c r="AA407" s="17"/>
      <c r="AB407" s="17"/>
    </row>
    <row r="408" spans="1:28" x14ac:dyDescent="0.3">
      <c r="A408" s="10"/>
      <c r="B408" s="10"/>
      <c r="C408" s="10"/>
      <c r="D408" s="15"/>
      <c r="E408" s="16"/>
      <c r="F408" s="17"/>
      <c r="G408" s="17"/>
      <c r="H408" s="17"/>
      <c r="I408" s="17"/>
      <c r="J408" s="17"/>
      <c r="L408" s="1"/>
      <c r="M408" s="1"/>
      <c r="N408" s="1"/>
      <c r="O408" s="1"/>
      <c r="Y408" s="17"/>
      <c r="Z408" s="17"/>
      <c r="AA408" s="17"/>
      <c r="AB408" s="17"/>
    </row>
    <row r="409" spans="1:28" x14ac:dyDescent="0.3">
      <c r="A409" s="10"/>
      <c r="B409" s="10"/>
      <c r="C409" s="10"/>
      <c r="D409" s="15"/>
      <c r="E409" s="16"/>
      <c r="F409" s="17"/>
      <c r="G409" s="17"/>
      <c r="H409" s="17"/>
      <c r="I409" s="17"/>
      <c r="J409" s="17"/>
      <c r="L409" s="1"/>
      <c r="M409" s="1"/>
      <c r="N409" s="1"/>
      <c r="O409" s="1"/>
      <c r="Y409" s="17"/>
      <c r="Z409" s="17"/>
      <c r="AA409" s="17"/>
      <c r="AB409" s="17"/>
    </row>
    <row r="410" spans="1:28" x14ac:dyDescent="0.3">
      <c r="A410" s="10"/>
      <c r="B410" s="10"/>
      <c r="C410" s="10"/>
      <c r="D410" s="15"/>
      <c r="E410" s="16"/>
      <c r="F410" s="17"/>
      <c r="G410" s="17"/>
      <c r="H410" s="17"/>
      <c r="I410" s="17"/>
      <c r="J410" s="17"/>
      <c r="L410" s="1"/>
      <c r="M410" s="1"/>
      <c r="N410" s="1"/>
      <c r="O410" s="1"/>
      <c r="Y410" s="17"/>
      <c r="Z410" s="17"/>
      <c r="AA410" s="17"/>
      <c r="AB410" s="17"/>
    </row>
    <row r="411" spans="1:28" x14ac:dyDescent="0.3">
      <c r="A411" s="10"/>
      <c r="B411" s="10"/>
      <c r="C411" s="10"/>
      <c r="D411" s="15"/>
      <c r="E411" s="16"/>
      <c r="F411" s="17"/>
      <c r="G411" s="17"/>
      <c r="H411" s="17"/>
      <c r="I411" s="17"/>
      <c r="J411" s="17"/>
      <c r="L411" s="1"/>
      <c r="M411" s="1"/>
      <c r="N411" s="1"/>
      <c r="O411" s="1"/>
      <c r="Y411" s="17"/>
      <c r="Z411" s="17"/>
      <c r="AA411" s="17"/>
      <c r="AB411" s="17"/>
    </row>
    <row r="412" spans="1:28" x14ac:dyDescent="0.3">
      <c r="A412" s="10"/>
      <c r="B412" s="10"/>
      <c r="C412" s="10"/>
      <c r="D412" s="15"/>
      <c r="E412" s="16"/>
      <c r="F412" s="17"/>
      <c r="G412" s="17"/>
      <c r="H412" s="17"/>
      <c r="I412" s="17"/>
      <c r="J412" s="17"/>
      <c r="L412" s="1"/>
      <c r="M412" s="1"/>
      <c r="N412" s="1"/>
      <c r="O412" s="1"/>
      <c r="Y412" s="17"/>
      <c r="Z412" s="17"/>
      <c r="AA412" s="17"/>
      <c r="AB412" s="17"/>
    </row>
    <row r="413" spans="1:28" x14ac:dyDescent="0.3">
      <c r="A413" s="10"/>
      <c r="B413" s="10"/>
      <c r="C413" s="10"/>
      <c r="D413" s="15"/>
      <c r="E413" s="16"/>
      <c r="F413" s="17"/>
      <c r="G413" s="17"/>
      <c r="H413" s="17"/>
      <c r="I413" s="17"/>
      <c r="J413" s="17"/>
      <c r="L413" s="1"/>
      <c r="M413" s="1"/>
      <c r="N413" s="1"/>
      <c r="O413" s="1"/>
      <c r="Y413" s="17"/>
      <c r="Z413" s="17"/>
      <c r="AA413" s="17"/>
      <c r="AB413" s="17"/>
    </row>
    <row r="414" spans="1:28" x14ac:dyDescent="0.3">
      <c r="A414" s="10"/>
      <c r="B414" s="10"/>
      <c r="C414" s="10"/>
      <c r="D414" s="15"/>
      <c r="E414" s="16"/>
      <c r="F414" s="17"/>
      <c r="G414" s="17"/>
      <c r="H414" s="17"/>
      <c r="I414" s="17"/>
      <c r="J414" s="17"/>
      <c r="L414" s="1"/>
      <c r="M414" s="1"/>
      <c r="N414" s="1"/>
      <c r="O414" s="1"/>
      <c r="Y414" s="17"/>
      <c r="Z414" s="17"/>
      <c r="AA414" s="17"/>
      <c r="AB414" s="17"/>
    </row>
    <row r="415" spans="1:28" x14ac:dyDescent="0.3">
      <c r="A415" s="10"/>
      <c r="B415" s="10"/>
      <c r="C415" s="10"/>
      <c r="D415" s="15"/>
      <c r="E415" s="16"/>
      <c r="F415" s="17"/>
      <c r="G415" s="17"/>
      <c r="H415" s="17"/>
      <c r="I415" s="17"/>
      <c r="J415" s="17"/>
      <c r="L415" s="1"/>
      <c r="M415" s="1"/>
      <c r="N415" s="1"/>
      <c r="O415" s="1"/>
      <c r="Y415" s="17"/>
      <c r="Z415" s="17"/>
      <c r="AA415" s="17"/>
      <c r="AB415" s="17"/>
    </row>
    <row r="416" spans="1:28" x14ac:dyDescent="0.3">
      <c r="A416" s="10"/>
      <c r="B416" s="10"/>
      <c r="C416" s="10"/>
      <c r="D416" s="15"/>
      <c r="E416" s="16"/>
      <c r="F416" s="17"/>
      <c r="G416" s="17"/>
      <c r="H416" s="17"/>
      <c r="I416" s="17"/>
      <c r="J416" s="17"/>
      <c r="L416" s="1"/>
      <c r="M416" s="1"/>
      <c r="N416" s="1"/>
      <c r="O416" s="1"/>
      <c r="Y416" s="17"/>
      <c r="Z416" s="17"/>
      <c r="AA416" s="17"/>
      <c r="AB416" s="17"/>
    </row>
    <row r="417" spans="1:28" x14ac:dyDescent="0.3">
      <c r="A417" s="10"/>
      <c r="B417" s="10"/>
      <c r="C417" s="10"/>
      <c r="D417" s="15"/>
      <c r="E417" s="16"/>
      <c r="F417" s="17"/>
      <c r="G417" s="17"/>
      <c r="H417" s="17"/>
      <c r="I417" s="17"/>
      <c r="J417" s="17"/>
      <c r="L417" s="1"/>
      <c r="M417" s="1"/>
      <c r="N417" s="1"/>
      <c r="O417" s="1"/>
      <c r="Y417" s="17"/>
      <c r="Z417" s="17"/>
      <c r="AA417" s="17"/>
      <c r="AB417" s="17"/>
    </row>
    <row r="418" spans="1:28" x14ac:dyDescent="0.3">
      <c r="A418" s="10"/>
      <c r="B418" s="10"/>
      <c r="C418" s="10"/>
      <c r="D418" s="15"/>
      <c r="E418" s="16"/>
      <c r="F418" s="17"/>
      <c r="G418" s="17"/>
      <c r="H418" s="17"/>
      <c r="I418" s="17"/>
      <c r="J418" s="17"/>
      <c r="L418" s="1"/>
      <c r="M418" s="1"/>
      <c r="N418" s="1"/>
      <c r="O418" s="1"/>
      <c r="Y418" s="17"/>
      <c r="Z418" s="17"/>
      <c r="AA418" s="17"/>
      <c r="AB418" s="17"/>
    </row>
    <row r="419" spans="1:28" x14ac:dyDescent="0.3">
      <c r="A419" s="10"/>
      <c r="B419" s="10"/>
      <c r="C419" s="10"/>
      <c r="D419" s="15"/>
      <c r="E419" s="16"/>
      <c r="F419" s="17"/>
      <c r="G419" s="17"/>
      <c r="H419" s="17"/>
      <c r="I419" s="17"/>
      <c r="J419" s="17"/>
      <c r="L419" s="1"/>
      <c r="M419" s="1"/>
      <c r="N419" s="1"/>
      <c r="O419" s="1"/>
      <c r="Y419" s="17"/>
      <c r="Z419" s="17"/>
      <c r="AA419" s="17"/>
      <c r="AB419" s="17"/>
    </row>
    <row r="420" spans="1:28" x14ac:dyDescent="0.3">
      <c r="A420" s="10"/>
      <c r="B420" s="10"/>
      <c r="C420" s="10"/>
      <c r="D420" s="15"/>
      <c r="E420" s="16"/>
      <c r="F420" s="17"/>
      <c r="G420" s="17"/>
      <c r="H420" s="17"/>
      <c r="I420" s="17"/>
      <c r="J420" s="17"/>
      <c r="L420" s="1"/>
      <c r="M420" s="1"/>
      <c r="N420" s="1"/>
      <c r="O420" s="1"/>
      <c r="Y420" s="17"/>
      <c r="Z420" s="17"/>
      <c r="AA420" s="17"/>
      <c r="AB420" s="17"/>
    </row>
    <row r="421" spans="1:28" x14ac:dyDescent="0.3">
      <c r="A421" s="10"/>
      <c r="B421" s="10"/>
      <c r="C421" s="10"/>
      <c r="D421" s="15"/>
      <c r="E421" s="16"/>
      <c r="F421" s="17"/>
      <c r="G421" s="17"/>
      <c r="H421" s="17"/>
      <c r="I421" s="17"/>
      <c r="J421" s="17"/>
      <c r="L421" s="1"/>
      <c r="M421" s="1"/>
      <c r="N421" s="1"/>
      <c r="O421" s="1"/>
      <c r="Y421" s="17"/>
      <c r="Z421" s="17"/>
      <c r="AA421" s="17"/>
      <c r="AB421" s="17"/>
    </row>
    <row r="422" spans="1:28" x14ac:dyDescent="0.3">
      <c r="A422" s="10"/>
      <c r="B422" s="10"/>
      <c r="C422" s="10"/>
      <c r="D422" s="15"/>
      <c r="E422" s="16"/>
      <c r="F422" s="17"/>
      <c r="G422" s="17"/>
      <c r="H422" s="17"/>
      <c r="I422" s="17"/>
      <c r="J422" s="17"/>
      <c r="L422" s="1"/>
      <c r="M422" s="1"/>
      <c r="N422" s="1"/>
      <c r="O422" s="1"/>
      <c r="Y422" s="17"/>
      <c r="Z422" s="17"/>
      <c r="AA422" s="17"/>
      <c r="AB422" s="17"/>
    </row>
    <row r="423" spans="1:28" x14ac:dyDescent="0.3">
      <c r="A423" s="10"/>
      <c r="B423" s="10"/>
      <c r="C423" s="10"/>
      <c r="D423" s="15"/>
      <c r="E423" s="16"/>
      <c r="F423" s="17"/>
      <c r="G423" s="17"/>
      <c r="H423" s="17"/>
      <c r="I423" s="17"/>
      <c r="J423" s="17"/>
      <c r="L423" s="1"/>
      <c r="M423" s="1"/>
      <c r="N423" s="1"/>
      <c r="O423" s="1"/>
      <c r="Y423" s="17"/>
      <c r="Z423" s="17"/>
      <c r="AA423" s="17"/>
      <c r="AB423" s="17"/>
    </row>
    <row r="424" spans="1:28" x14ac:dyDescent="0.3">
      <c r="A424" s="10"/>
      <c r="B424" s="10"/>
      <c r="C424" s="10"/>
      <c r="D424" s="15"/>
      <c r="E424" s="16"/>
      <c r="F424" s="17"/>
      <c r="G424" s="17"/>
      <c r="H424" s="17"/>
      <c r="I424" s="17"/>
      <c r="J424" s="17"/>
      <c r="L424" s="1"/>
      <c r="M424" s="1"/>
      <c r="N424" s="1"/>
      <c r="O424" s="1"/>
      <c r="Y424" s="17"/>
      <c r="Z424" s="17"/>
      <c r="AA424" s="17"/>
      <c r="AB424" s="17"/>
    </row>
    <row r="425" spans="1:28" x14ac:dyDescent="0.3">
      <c r="A425" s="10"/>
      <c r="B425" s="10"/>
      <c r="C425" s="10"/>
      <c r="D425" s="15"/>
      <c r="E425" s="16"/>
      <c r="F425" s="17"/>
      <c r="G425" s="17"/>
      <c r="H425" s="17"/>
      <c r="I425" s="17"/>
      <c r="J425" s="17"/>
      <c r="L425" s="1"/>
      <c r="M425" s="1"/>
      <c r="N425" s="1"/>
      <c r="O425" s="1"/>
      <c r="Y425" s="17"/>
      <c r="Z425" s="17"/>
      <c r="AA425" s="17"/>
      <c r="AB425" s="17"/>
    </row>
    <row r="426" spans="1:28" x14ac:dyDescent="0.3">
      <c r="A426" s="10"/>
      <c r="B426" s="10"/>
      <c r="C426" s="10"/>
      <c r="D426" s="15"/>
      <c r="E426" s="16"/>
      <c r="F426" s="17"/>
      <c r="G426" s="17"/>
      <c r="H426" s="17"/>
      <c r="I426" s="17"/>
      <c r="J426" s="17"/>
      <c r="L426" s="1"/>
      <c r="M426" s="1"/>
      <c r="N426" s="1"/>
      <c r="O426" s="1"/>
      <c r="Y426" s="17"/>
      <c r="Z426" s="17"/>
      <c r="AA426" s="17"/>
      <c r="AB426" s="17"/>
    </row>
    <row r="427" spans="1:28" x14ac:dyDescent="0.3">
      <c r="A427" s="10"/>
      <c r="B427" s="10"/>
      <c r="C427" s="10"/>
      <c r="D427" s="15"/>
      <c r="E427" s="16"/>
      <c r="F427" s="17"/>
      <c r="G427" s="17"/>
      <c r="H427" s="17"/>
      <c r="I427" s="17"/>
      <c r="J427" s="17"/>
      <c r="L427" s="1"/>
      <c r="M427" s="1"/>
      <c r="N427" s="1"/>
      <c r="O427" s="1"/>
      <c r="Y427" s="17"/>
      <c r="Z427" s="17"/>
      <c r="AA427" s="17"/>
      <c r="AB427" s="17"/>
    </row>
    <row r="428" spans="1:28" x14ac:dyDescent="0.3">
      <c r="A428" s="10"/>
      <c r="B428" s="10"/>
      <c r="C428" s="10"/>
      <c r="D428" s="15"/>
      <c r="E428" s="16"/>
      <c r="F428" s="17"/>
      <c r="G428" s="17"/>
      <c r="H428" s="17"/>
      <c r="I428" s="17"/>
      <c r="J428" s="17"/>
      <c r="L428" s="1"/>
      <c r="M428" s="1"/>
      <c r="N428" s="1"/>
      <c r="O428" s="1"/>
      <c r="Y428" s="17"/>
      <c r="Z428" s="17"/>
      <c r="AA428" s="17"/>
      <c r="AB428" s="17"/>
    </row>
    <row r="429" spans="1:28" x14ac:dyDescent="0.3">
      <c r="A429" s="10"/>
      <c r="B429" s="10"/>
      <c r="C429" s="10"/>
      <c r="D429" s="15"/>
      <c r="E429" s="16"/>
      <c r="F429" s="17"/>
      <c r="G429" s="17"/>
      <c r="H429" s="17"/>
      <c r="I429" s="17"/>
      <c r="J429" s="17"/>
      <c r="L429" s="1"/>
      <c r="M429" s="1"/>
      <c r="N429" s="1"/>
      <c r="O429" s="1"/>
      <c r="Y429" s="17"/>
      <c r="Z429" s="17"/>
      <c r="AA429" s="17"/>
      <c r="AB429" s="17"/>
    </row>
    <row r="430" spans="1:28" x14ac:dyDescent="0.3">
      <c r="A430" s="10"/>
      <c r="B430" s="10"/>
      <c r="C430" s="10"/>
      <c r="D430" s="15"/>
      <c r="E430" s="16"/>
      <c r="F430" s="17"/>
      <c r="G430" s="17"/>
      <c r="H430" s="17"/>
      <c r="I430" s="17"/>
      <c r="J430" s="17"/>
      <c r="L430" s="1"/>
      <c r="M430" s="1"/>
      <c r="N430" s="1"/>
      <c r="O430" s="1"/>
      <c r="Y430" s="17"/>
      <c r="Z430" s="17"/>
      <c r="AA430" s="17"/>
      <c r="AB430" s="17"/>
    </row>
    <row r="431" spans="1:28" x14ac:dyDescent="0.3">
      <c r="A431" s="10"/>
      <c r="B431" s="10"/>
      <c r="C431" s="10"/>
      <c r="D431" s="15"/>
      <c r="E431" s="16"/>
      <c r="F431" s="17"/>
      <c r="G431" s="17"/>
      <c r="H431" s="17"/>
      <c r="I431" s="17"/>
      <c r="J431" s="17"/>
      <c r="L431" s="1"/>
      <c r="M431" s="1"/>
      <c r="N431" s="1"/>
      <c r="O431" s="1"/>
      <c r="Y431" s="17"/>
      <c r="Z431" s="17"/>
      <c r="AA431" s="17"/>
      <c r="AB431" s="17"/>
    </row>
    <row r="432" spans="1:28" x14ac:dyDescent="0.3">
      <c r="A432" s="10"/>
      <c r="B432" s="10"/>
      <c r="C432" s="10"/>
      <c r="D432" s="15"/>
      <c r="E432" s="16"/>
      <c r="F432" s="17"/>
      <c r="G432" s="17"/>
      <c r="H432" s="17"/>
      <c r="I432" s="17"/>
      <c r="J432" s="17"/>
      <c r="L432" s="1"/>
      <c r="M432" s="1"/>
      <c r="N432" s="1"/>
      <c r="O432" s="1"/>
      <c r="Y432" s="17"/>
      <c r="Z432" s="17"/>
      <c r="AA432" s="17"/>
      <c r="AB432" s="17"/>
    </row>
    <row r="433" spans="1:28" x14ac:dyDescent="0.3">
      <c r="A433" s="10"/>
      <c r="B433" s="10"/>
      <c r="C433" s="10"/>
      <c r="D433" s="15"/>
      <c r="E433" s="16"/>
      <c r="F433" s="17"/>
      <c r="G433" s="17"/>
      <c r="H433" s="17"/>
      <c r="I433" s="17"/>
      <c r="J433" s="17"/>
      <c r="L433" s="1"/>
      <c r="M433" s="1"/>
      <c r="N433" s="1"/>
      <c r="O433" s="1"/>
      <c r="Y433" s="17"/>
      <c r="Z433" s="17"/>
      <c r="AA433" s="17"/>
      <c r="AB433" s="17"/>
    </row>
    <row r="434" spans="1:28" x14ac:dyDescent="0.3">
      <c r="A434" s="10"/>
      <c r="B434" s="10"/>
      <c r="C434" s="10"/>
      <c r="D434" s="15"/>
      <c r="E434" s="16"/>
      <c r="F434" s="17"/>
      <c r="G434" s="17"/>
      <c r="H434" s="17"/>
      <c r="I434" s="17"/>
      <c r="J434" s="17"/>
      <c r="L434" s="1"/>
      <c r="M434" s="1"/>
      <c r="N434" s="1"/>
      <c r="O434" s="1"/>
      <c r="Y434" s="17"/>
      <c r="Z434" s="17"/>
      <c r="AA434" s="17"/>
      <c r="AB434" s="17"/>
    </row>
    <row r="435" spans="1:28" x14ac:dyDescent="0.3">
      <c r="A435" s="10"/>
      <c r="B435" s="10"/>
      <c r="C435" s="10"/>
      <c r="D435" s="15"/>
      <c r="E435" s="16"/>
      <c r="F435" s="17"/>
      <c r="G435" s="17"/>
      <c r="H435" s="17"/>
      <c r="I435" s="17"/>
      <c r="J435" s="17"/>
      <c r="L435" s="1"/>
      <c r="M435" s="1"/>
      <c r="N435" s="1"/>
      <c r="O435" s="1"/>
      <c r="Y435" s="17"/>
      <c r="Z435" s="17"/>
      <c r="AA435" s="17"/>
      <c r="AB435" s="17"/>
    </row>
    <row r="436" spans="1:28" x14ac:dyDescent="0.3">
      <c r="A436" s="10"/>
      <c r="B436" s="10"/>
      <c r="C436" s="10"/>
      <c r="D436" s="15"/>
      <c r="E436" s="16"/>
      <c r="F436" s="17"/>
      <c r="G436" s="17"/>
      <c r="H436" s="17"/>
      <c r="I436" s="17"/>
      <c r="J436" s="17"/>
      <c r="L436" s="1"/>
      <c r="M436" s="1"/>
      <c r="N436" s="1"/>
      <c r="O436" s="1"/>
      <c r="Y436" s="17"/>
      <c r="Z436" s="17"/>
      <c r="AA436" s="17"/>
      <c r="AB436" s="17"/>
    </row>
    <row r="437" spans="1:28" x14ac:dyDescent="0.3">
      <c r="A437" s="10"/>
      <c r="B437" s="10"/>
      <c r="C437" s="10"/>
      <c r="D437" s="15"/>
      <c r="E437" s="16"/>
      <c r="F437" s="17"/>
      <c r="G437" s="17"/>
      <c r="H437" s="17"/>
      <c r="I437" s="17"/>
      <c r="J437" s="17"/>
      <c r="L437" s="1"/>
      <c r="M437" s="1"/>
      <c r="N437" s="1"/>
      <c r="O437" s="1"/>
      <c r="Y437" s="17"/>
      <c r="Z437" s="17"/>
      <c r="AA437" s="17"/>
      <c r="AB437" s="17"/>
    </row>
    <row r="438" spans="1:28" x14ac:dyDescent="0.3">
      <c r="A438" s="10"/>
      <c r="B438" s="10"/>
      <c r="C438" s="10"/>
      <c r="D438" s="15"/>
      <c r="E438" s="16"/>
      <c r="F438" s="17"/>
      <c r="G438" s="17"/>
      <c r="H438" s="17"/>
      <c r="I438" s="17"/>
      <c r="J438" s="17"/>
      <c r="L438" s="1"/>
      <c r="M438" s="1"/>
      <c r="N438" s="1"/>
      <c r="O438" s="1"/>
      <c r="Y438" s="17"/>
      <c r="Z438" s="17"/>
      <c r="AA438" s="17"/>
      <c r="AB438" s="17"/>
    </row>
    <row r="439" spans="1:28" x14ac:dyDescent="0.3">
      <c r="A439" s="10"/>
      <c r="B439" s="10"/>
      <c r="C439" s="10"/>
      <c r="D439" s="15"/>
      <c r="E439" s="16"/>
      <c r="F439" s="17"/>
      <c r="G439" s="17"/>
      <c r="H439" s="17"/>
      <c r="I439" s="17"/>
      <c r="J439" s="17"/>
      <c r="L439" s="1"/>
      <c r="M439" s="1"/>
      <c r="N439" s="1"/>
      <c r="O439" s="1"/>
      <c r="Y439" s="17"/>
      <c r="Z439" s="17"/>
      <c r="AA439" s="17"/>
      <c r="AB439" s="17"/>
    </row>
    <row r="440" spans="1:28" x14ac:dyDescent="0.3">
      <c r="A440" s="10"/>
      <c r="B440" s="10"/>
      <c r="C440" s="10"/>
      <c r="D440" s="15"/>
      <c r="E440" s="16"/>
      <c r="F440" s="17"/>
      <c r="G440" s="17"/>
      <c r="H440" s="17"/>
      <c r="I440" s="17"/>
      <c r="J440" s="17"/>
      <c r="L440" s="1"/>
      <c r="M440" s="1"/>
      <c r="N440" s="1"/>
      <c r="O440" s="1"/>
      <c r="Y440" s="17"/>
      <c r="Z440" s="17"/>
      <c r="AA440" s="17"/>
      <c r="AB440" s="17"/>
    </row>
    <row r="441" spans="1:28" x14ac:dyDescent="0.3">
      <c r="A441" s="10"/>
      <c r="B441" s="10"/>
      <c r="C441" s="10"/>
      <c r="D441" s="15"/>
      <c r="E441" s="16"/>
      <c r="F441" s="17"/>
      <c r="G441" s="17"/>
      <c r="H441" s="17"/>
      <c r="I441" s="17"/>
      <c r="J441" s="17"/>
      <c r="L441" s="1"/>
      <c r="M441" s="1"/>
      <c r="N441" s="1"/>
      <c r="O441" s="1"/>
      <c r="Y441" s="17"/>
      <c r="Z441" s="17"/>
      <c r="AA441" s="17"/>
      <c r="AB441" s="17"/>
    </row>
    <row r="442" spans="1:28" x14ac:dyDescent="0.3">
      <c r="A442" s="10"/>
      <c r="B442" s="10"/>
      <c r="C442" s="10"/>
      <c r="D442" s="15"/>
      <c r="E442" s="16"/>
      <c r="F442" s="17"/>
      <c r="G442" s="17"/>
      <c r="H442" s="17"/>
      <c r="I442" s="17"/>
      <c r="J442" s="17"/>
      <c r="L442" s="1"/>
      <c r="M442" s="1"/>
      <c r="N442" s="1"/>
      <c r="O442" s="1"/>
      <c r="Y442" s="17"/>
      <c r="Z442" s="17"/>
      <c r="AA442" s="17"/>
      <c r="AB442" s="17"/>
    </row>
    <row r="443" spans="1:28" x14ac:dyDescent="0.3">
      <c r="A443" s="10"/>
      <c r="B443" s="10"/>
      <c r="C443" s="10"/>
      <c r="D443" s="15"/>
      <c r="E443" s="16"/>
      <c r="F443" s="17"/>
      <c r="G443" s="17"/>
      <c r="H443" s="17"/>
      <c r="I443" s="17"/>
      <c r="J443" s="17"/>
      <c r="L443" s="1"/>
      <c r="M443" s="1"/>
      <c r="N443" s="1"/>
      <c r="O443" s="1"/>
      <c r="Y443" s="17"/>
      <c r="Z443" s="17"/>
      <c r="AA443" s="17"/>
      <c r="AB443" s="17"/>
    </row>
    <row r="444" spans="1:28" x14ac:dyDescent="0.3">
      <c r="A444" s="10"/>
      <c r="B444" s="10"/>
      <c r="C444" s="10"/>
      <c r="D444" s="15"/>
      <c r="E444" s="16"/>
      <c r="F444" s="17"/>
      <c r="G444" s="17"/>
      <c r="H444" s="17"/>
      <c r="I444" s="17"/>
      <c r="J444" s="17"/>
      <c r="L444" s="1"/>
      <c r="M444" s="1"/>
      <c r="N444" s="1"/>
      <c r="O444" s="1"/>
      <c r="Y444" s="17"/>
      <c r="Z444" s="17"/>
      <c r="AA444" s="17"/>
      <c r="AB444" s="17"/>
    </row>
    <row r="445" spans="1:28" x14ac:dyDescent="0.3">
      <c r="A445" s="10"/>
      <c r="B445" s="10"/>
      <c r="C445" s="10"/>
      <c r="D445" s="15"/>
      <c r="E445" s="16"/>
      <c r="F445" s="17"/>
      <c r="G445" s="17"/>
      <c r="H445" s="17"/>
      <c r="I445" s="17"/>
      <c r="J445" s="17"/>
      <c r="L445" s="1"/>
      <c r="M445" s="1"/>
      <c r="N445" s="1"/>
      <c r="O445" s="1"/>
      <c r="Y445" s="17"/>
      <c r="Z445" s="17"/>
      <c r="AA445" s="17"/>
      <c r="AB445" s="17"/>
    </row>
    <row r="446" spans="1:28" x14ac:dyDescent="0.3">
      <c r="A446" s="10"/>
      <c r="B446" s="10"/>
      <c r="C446" s="10"/>
      <c r="D446" s="15"/>
      <c r="E446" s="16"/>
      <c r="F446" s="17"/>
      <c r="G446" s="17"/>
      <c r="H446" s="17"/>
      <c r="I446" s="17"/>
      <c r="J446" s="17"/>
      <c r="L446" s="1"/>
      <c r="M446" s="1"/>
      <c r="N446" s="1"/>
      <c r="O446" s="1"/>
      <c r="Y446" s="17"/>
      <c r="Z446" s="17"/>
      <c r="AA446" s="17"/>
      <c r="AB446" s="17"/>
    </row>
    <row r="447" spans="1:28" x14ac:dyDescent="0.3">
      <c r="A447" s="10"/>
      <c r="B447" s="10"/>
      <c r="C447" s="10"/>
      <c r="D447" s="15"/>
      <c r="E447" s="16"/>
      <c r="F447" s="17"/>
      <c r="G447" s="17"/>
      <c r="H447" s="17"/>
      <c r="I447" s="17"/>
      <c r="J447" s="17"/>
      <c r="L447" s="1"/>
      <c r="M447" s="1"/>
      <c r="N447" s="1"/>
      <c r="O447" s="1"/>
      <c r="Y447" s="17"/>
      <c r="Z447" s="17"/>
      <c r="AA447" s="17"/>
      <c r="AB447" s="17"/>
    </row>
    <row r="448" spans="1:28" x14ac:dyDescent="0.3">
      <c r="A448" s="10"/>
      <c r="B448" s="10"/>
      <c r="C448" s="10"/>
      <c r="D448" s="15"/>
      <c r="E448" s="16"/>
      <c r="F448" s="17"/>
      <c r="G448" s="17"/>
      <c r="H448" s="17"/>
      <c r="I448" s="17"/>
      <c r="J448" s="17"/>
      <c r="L448" s="1"/>
      <c r="M448" s="1"/>
      <c r="N448" s="1"/>
      <c r="O448" s="1"/>
      <c r="Y448" s="17"/>
      <c r="Z448" s="17"/>
      <c r="AA448" s="17"/>
      <c r="AB448" s="17"/>
    </row>
    <row r="449" spans="1:28" x14ac:dyDescent="0.3">
      <c r="A449" s="10"/>
      <c r="B449" s="10"/>
      <c r="C449" s="10"/>
      <c r="D449" s="15"/>
      <c r="E449" s="16"/>
      <c r="F449" s="17"/>
      <c r="G449" s="17"/>
      <c r="H449" s="17"/>
      <c r="I449" s="17"/>
      <c r="J449" s="17"/>
      <c r="L449" s="1"/>
      <c r="M449" s="1"/>
      <c r="N449" s="1"/>
      <c r="O449" s="1"/>
      <c r="Y449" s="17"/>
      <c r="Z449" s="17"/>
      <c r="AA449" s="17"/>
      <c r="AB449" s="17"/>
    </row>
    <row r="450" spans="1:28" x14ac:dyDescent="0.3">
      <c r="A450" s="10"/>
      <c r="B450" s="10"/>
      <c r="C450" s="10"/>
      <c r="D450" s="15"/>
      <c r="E450" s="16"/>
      <c r="F450" s="17"/>
      <c r="G450" s="17"/>
      <c r="H450" s="17"/>
      <c r="I450" s="17"/>
      <c r="J450" s="17"/>
      <c r="L450" s="1"/>
      <c r="M450" s="1"/>
      <c r="N450" s="1"/>
      <c r="O450" s="1"/>
      <c r="Y450" s="17"/>
      <c r="Z450" s="17"/>
      <c r="AA450" s="17"/>
      <c r="AB450" s="17"/>
    </row>
    <row r="451" spans="1:28" x14ac:dyDescent="0.3">
      <c r="A451" s="10"/>
      <c r="B451" s="10"/>
      <c r="C451" s="10"/>
      <c r="D451" s="15"/>
      <c r="E451" s="16"/>
      <c r="F451" s="17"/>
      <c r="G451" s="17"/>
      <c r="H451" s="17"/>
      <c r="I451" s="17"/>
      <c r="J451" s="17"/>
      <c r="L451" s="1"/>
      <c r="M451" s="1"/>
      <c r="N451" s="1"/>
      <c r="O451" s="1"/>
      <c r="Y451" s="17"/>
      <c r="Z451" s="17"/>
      <c r="AA451" s="17"/>
      <c r="AB451" s="17"/>
    </row>
    <row r="452" spans="1:28" x14ac:dyDescent="0.3">
      <c r="A452" s="10"/>
      <c r="B452" s="10"/>
      <c r="C452" s="10"/>
      <c r="D452" s="15"/>
      <c r="E452" s="16"/>
      <c r="F452" s="17"/>
      <c r="G452" s="17"/>
      <c r="H452" s="17"/>
      <c r="I452" s="17"/>
      <c r="J452" s="17"/>
      <c r="L452" s="1"/>
      <c r="M452" s="1"/>
      <c r="N452" s="1"/>
      <c r="O452" s="1"/>
      <c r="Y452" s="17"/>
      <c r="Z452" s="17"/>
      <c r="AA452" s="17"/>
      <c r="AB452" s="17"/>
    </row>
    <row r="453" spans="1:28" x14ac:dyDescent="0.3">
      <c r="A453" s="10"/>
      <c r="B453" s="10"/>
      <c r="C453" s="10"/>
      <c r="D453" s="15"/>
      <c r="E453" s="16"/>
      <c r="F453" s="17"/>
      <c r="G453" s="17"/>
      <c r="H453" s="17"/>
      <c r="I453" s="17"/>
      <c r="J453" s="17"/>
      <c r="L453" s="1"/>
      <c r="M453" s="1"/>
      <c r="N453" s="1"/>
      <c r="O453" s="1"/>
      <c r="Y453" s="17"/>
      <c r="Z453" s="17"/>
      <c r="AA453" s="17"/>
      <c r="AB453" s="17"/>
    </row>
    <row r="454" spans="1:28" x14ac:dyDescent="0.3">
      <c r="A454" s="10"/>
      <c r="B454" s="10"/>
      <c r="C454" s="10"/>
      <c r="D454" s="15"/>
      <c r="E454" s="16"/>
      <c r="F454" s="17"/>
      <c r="G454" s="17"/>
      <c r="H454" s="17"/>
      <c r="I454" s="17"/>
      <c r="J454" s="17"/>
      <c r="L454" s="1"/>
      <c r="M454" s="1"/>
      <c r="N454" s="1"/>
      <c r="O454" s="1"/>
      <c r="Y454" s="17"/>
      <c r="Z454" s="17"/>
      <c r="AA454" s="17"/>
      <c r="AB454" s="17"/>
    </row>
    <row r="455" spans="1:28" x14ac:dyDescent="0.3">
      <c r="A455" s="10"/>
      <c r="B455" s="10"/>
      <c r="C455" s="10"/>
      <c r="D455" s="15"/>
      <c r="E455" s="16"/>
      <c r="F455" s="17"/>
      <c r="G455" s="17"/>
      <c r="H455" s="17"/>
      <c r="I455" s="17"/>
      <c r="J455" s="17"/>
      <c r="L455" s="1"/>
      <c r="M455" s="1"/>
      <c r="N455" s="1"/>
      <c r="O455" s="1"/>
      <c r="Y455" s="17"/>
      <c r="Z455" s="17"/>
      <c r="AA455" s="17"/>
      <c r="AB455" s="17"/>
    </row>
    <row r="456" spans="1:28" x14ac:dyDescent="0.3">
      <c r="A456" s="10"/>
      <c r="B456" s="10"/>
      <c r="C456" s="10"/>
      <c r="D456" s="15"/>
      <c r="E456" s="16"/>
      <c r="F456" s="17"/>
      <c r="G456" s="17"/>
      <c r="H456" s="17"/>
      <c r="I456" s="17"/>
      <c r="J456" s="17"/>
      <c r="L456" s="1"/>
      <c r="M456" s="1"/>
      <c r="N456" s="1"/>
      <c r="O456" s="1"/>
      <c r="Y456" s="17"/>
      <c r="Z456" s="17"/>
      <c r="AA456" s="17"/>
      <c r="AB456" s="17"/>
    </row>
    <row r="457" spans="1:28" x14ac:dyDescent="0.3">
      <c r="A457" s="10"/>
      <c r="B457" s="10"/>
      <c r="C457" s="10"/>
      <c r="D457" s="15"/>
      <c r="E457" s="16"/>
      <c r="F457" s="17"/>
      <c r="G457" s="17"/>
      <c r="H457" s="17"/>
      <c r="I457" s="17"/>
      <c r="J457" s="17"/>
      <c r="L457" s="1"/>
      <c r="M457" s="1"/>
      <c r="N457" s="1"/>
      <c r="O457" s="1"/>
      <c r="Y457" s="17"/>
      <c r="Z457" s="17"/>
      <c r="AA457" s="17"/>
      <c r="AB457" s="17"/>
    </row>
    <row r="458" spans="1:28" x14ac:dyDescent="0.3">
      <c r="A458" s="10"/>
      <c r="B458" s="10"/>
      <c r="C458" s="10"/>
      <c r="D458" s="15"/>
      <c r="E458" s="16"/>
      <c r="F458" s="17"/>
      <c r="G458" s="17"/>
      <c r="H458" s="17"/>
      <c r="I458" s="17"/>
      <c r="J458" s="17"/>
      <c r="L458" s="1"/>
      <c r="M458" s="1"/>
      <c r="N458" s="1"/>
      <c r="O458" s="1"/>
      <c r="Y458" s="17"/>
      <c r="Z458" s="17"/>
      <c r="AA458" s="17"/>
      <c r="AB458" s="17"/>
    </row>
    <row r="459" spans="1:28" x14ac:dyDescent="0.3">
      <c r="A459" s="10"/>
      <c r="B459" s="10"/>
      <c r="C459" s="10"/>
      <c r="D459" s="15"/>
      <c r="E459" s="16"/>
      <c r="F459" s="17"/>
      <c r="G459" s="17"/>
      <c r="H459" s="17"/>
      <c r="I459" s="17"/>
      <c r="J459" s="17"/>
      <c r="L459" s="1"/>
      <c r="M459" s="1"/>
      <c r="N459" s="1"/>
      <c r="O459" s="1"/>
      <c r="Y459" s="17"/>
      <c r="Z459" s="17"/>
      <c r="AA459" s="17"/>
      <c r="AB459" s="17"/>
    </row>
    <row r="460" spans="1:28" x14ac:dyDescent="0.3">
      <c r="A460" s="10"/>
      <c r="B460" s="10"/>
      <c r="C460" s="10"/>
      <c r="D460" s="15"/>
      <c r="E460" s="16"/>
      <c r="F460" s="17"/>
      <c r="G460" s="17"/>
      <c r="H460" s="17"/>
      <c r="I460" s="17"/>
      <c r="J460" s="17"/>
      <c r="L460" s="1"/>
      <c r="M460" s="1"/>
      <c r="N460" s="1"/>
      <c r="O460" s="1"/>
      <c r="Y460" s="17"/>
      <c r="Z460" s="17"/>
      <c r="AA460" s="17"/>
      <c r="AB460" s="17"/>
    </row>
    <row r="461" spans="1:28" x14ac:dyDescent="0.3">
      <c r="A461" s="10"/>
      <c r="B461" s="10"/>
      <c r="C461" s="10"/>
      <c r="D461" s="15"/>
      <c r="E461" s="16"/>
      <c r="F461" s="17"/>
      <c r="G461" s="17"/>
      <c r="H461" s="17"/>
      <c r="I461" s="17"/>
      <c r="J461" s="17"/>
      <c r="L461" s="1"/>
      <c r="M461" s="1"/>
      <c r="N461" s="1"/>
      <c r="O461" s="1"/>
      <c r="Y461" s="17"/>
      <c r="Z461" s="17"/>
      <c r="AA461" s="17"/>
      <c r="AB461" s="17"/>
    </row>
    <row r="462" spans="1:28" x14ac:dyDescent="0.3">
      <c r="A462" s="10"/>
      <c r="B462" s="10"/>
      <c r="C462" s="10"/>
      <c r="D462" s="15"/>
      <c r="E462" s="16"/>
      <c r="F462" s="17"/>
      <c r="G462" s="17"/>
      <c r="H462" s="17"/>
      <c r="I462" s="17"/>
      <c r="J462" s="17"/>
      <c r="L462" s="1"/>
      <c r="M462" s="1"/>
      <c r="N462" s="1"/>
      <c r="O462" s="1"/>
      <c r="Y462" s="17"/>
      <c r="Z462" s="17"/>
      <c r="AA462" s="17"/>
      <c r="AB462" s="17"/>
    </row>
    <row r="463" spans="1:28" x14ac:dyDescent="0.3">
      <c r="B463" s="10"/>
      <c r="C463" s="10"/>
      <c r="D463" s="15"/>
      <c r="E463" s="16"/>
      <c r="F463" s="17"/>
      <c r="G463" s="17"/>
      <c r="H463" s="17"/>
      <c r="I463" s="17"/>
      <c r="J463" s="17"/>
      <c r="L463" s="1"/>
      <c r="M463" s="1"/>
      <c r="N463" s="1"/>
      <c r="O463" s="1"/>
      <c r="Y463" s="17"/>
      <c r="Z463" s="17"/>
      <c r="AA463" s="17"/>
      <c r="AB463" s="17"/>
    </row>
    <row r="464" spans="1:28" x14ac:dyDescent="0.3">
      <c r="A464" s="10"/>
      <c r="B464" s="10"/>
      <c r="C464" s="10"/>
      <c r="D464" s="15"/>
      <c r="E464" s="16"/>
      <c r="F464" s="17"/>
      <c r="G464" s="17"/>
      <c r="H464" s="17"/>
      <c r="I464" s="17"/>
      <c r="J464" s="17"/>
      <c r="L464" s="1"/>
      <c r="M464" s="1"/>
      <c r="N464" s="1"/>
      <c r="O464" s="1"/>
      <c r="Y464" s="17"/>
      <c r="Z464" s="17"/>
      <c r="AA464" s="17"/>
      <c r="AB464" s="17"/>
    </row>
    <row r="465" spans="1:28" x14ac:dyDescent="0.3">
      <c r="A465" s="10"/>
      <c r="B465" s="10"/>
      <c r="C465" s="10"/>
      <c r="D465" s="15"/>
      <c r="E465" s="16"/>
      <c r="F465" s="17"/>
      <c r="G465" s="17"/>
      <c r="H465" s="17"/>
      <c r="I465" s="17"/>
      <c r="J465" s="17"/>
      <c r="L465" s="1"/>
      <c r="M465" s="1"/>
      <c r="N465" s="1"/>
      <c r="O465" s="1"/>
      <c r="Y465" s="17"/>
      <c r="Z465" s="17"/>
      <c r="AA465" s="17"/>
      <c r="AB465" s="17"/>
    </row>
    <row r="466" spans="1:28" x14ac:dyDescent="0.3">
      <c r="A466" s="10"/>
      <c r="B466" s="10"/>
      <c r="C466" s="10"/>
      <c r="D466" s="15"/>
      <c r="E466" s="16"/>
      <c r="F466" s="17"/>
      <c r="G466" s="17"/>
      <c r="H466" s="17"/>
      <c r="I466" s="17"/>
      <c r="J466" s="17"/>
      <c r="L466" s="1"/>
      <c r="M466" s="1"/>
      <c r="N466" s="1"/>
      <c r="O466" s="1"/>
      <c r="Y466" s="17"/>
      <c r="Z466" s="17"/>
      <c r="AA466" s="17"/>
      <c r="AB466" s="17"/>
    </row>
    <row r="467" spans="1:28" x14ac:dyDescent="0.3">
      <c r="A467" s="10"/>
      <c r="B467" s="10"/>
      <c r="C467" s="10"/>
      <c r="D467" s="15"/>
      <c r="E467" s="16"/>
      <c r="F467" s="17"/>
      <c r="G467" s="17"/>
      <c r="H467" s="17"/>
      <c r="I467" s="17"/>
      <c r="J467" s="17"/>
      <c r="L467" s="1"/>
      <c r="M467" s="1"/>
      <c r="N467" s="1"/>
      <c r="O467" s="1"/>
      <c r="Y467" s="17"/>
      <c r="Z467" s="17"/>
      <c r="AA467" s="17"/>
      <c r="AB467" s="17"/>
    </row>
    <row r="468" spans="1:28" x14ac:dyDescent="0.3">
      <c r="A468" s="10"/>
      <c r="B468" s="10"/>
      <c r="C468" s="10"/>
      <c r="D468" s="15"/>
      <c r="E468" s="16"/>
      <c r="F468" s="17"/>
      <c r="G468" s="17"/>
      <c r="H468" s="17"/>
      <c r="I468" s="17"/>
      <c r="J468" s="17"/>
      <c r="L468" s="1"/>
      <c r="M468" s="1"/>
      <c r="N468" s="1"/>
      <c r="O468" s="1"/>
      <c r="Y468" s="17"/>
      <c r="Z468" s="17"/>
      <c r="AA468" s="17"/>
      <c r="AB468" s="17"/>
    </row>
    <row r="469" spans="1:28" x14ac:dyDescent="0.3">
      <c r="A469" s="10"/>
      <c r="B469" s="10"/>
      <c r="C469" s="10"/>
      <c r="D469" s="15"/>
      <c r="E469" s="16"/>
      <c r="F469" s="17"/>
      <c r="G469" s="17"/>
      <c r="H469" s="17"/>
      <c r="I469" s="17"/>
      <c r="J469" s="17"/>
      <c r="L469" s="1"/>
      <c r="M469" s="1"/>
      <c r="N469" s="1"/>
      <c r="O469" s="1"/>
      <c r="Y469" s="17"/>
      <c r="Z469" s="17"/>
      <c r="AA469" s="17"/>
      <c r="AB469" s="17"/>
    </row>
    <row r="470" spans="1:28" x14ac:dyDescent="0.3">
      <c r="A470" s="10"/>
      <c r="B470" s="10"/>
      <c r="C470" s="10"/>
      <c r="D470" s="15"/>
      <c r="E470" s="16"/>
      <c r="F470" s="17"/>
      <c r="G470" s="17"/>
      <c r="H470" s="17"/>
      <c r="I470" s="17"/>
      <c r="J470" s="17"/>
      <c r="L470" s="1"/>
      <c r="M470" s="1"/>
      <c r="N470" s="1"/>
      <c r="O470" s="1"/>
      <c r="Y470" s="17"/>
      <c r="Z470" s="17"/>
      <c r="AA470" s="17"/>
      <c r="AB470" s="17"/>
    </row>
    <row r="471" spans="1:28" x14ac:dyDescent="0.3">
      <c r="A471" s="10"/>
      <c r="B471" s="10"/>
      <c r="C471" s="10"/>
      <c r="D471" s="15"/>
      <c r="E471" s="16"/>
      <c r="F471" s="17"/>
      <c r="G471" s="17"/>
      <c r="H471" s="17"/>
      <c r="I471" s="17"/>
      <c r="J471" s="17"/>
      <c r="L471" s="1"/>
      <c r="M471" s="1"/>
      <c r="N471" s="1"/>
      <c r="O471" s="1"/>
      <c r="Y471" s="17"/>
      <c r="Z471" s="17"/>
      <c r="AA471" s="17"/>
      <c r="AB471" s="17"/>
    </row>
    <row r="472" spans="1:28" x14ac:dyDescent="0.3">
      <c r="A472" s="10"/>
      <c r="B472" s="10"/>
      <c r="C472" s="10"/>
      <c r="D472" s="15"/>
      <c r="E472" s="16"/>
      <c r="F472" s="17"/>
      <c r="G472" s="17"/>
      <c r="H472" s="17"/>
      <c r="I472" s="17"/>
      <c r="J472" s="17"/>
      <c r="L472" s="1"/>
      <c r="M472" s="1"/>
      <c r="N472" s="1"/>
      <c r="O472" s="1"/>
      <c r="Y472" s="17"/>
      <c r="Z472" s="17"/>
      <c r="AA472" s="17"/>
      <c r="AB472" s="17"/>
    </row>
    <row r="473" spans="1:28" x14ac:dyDescent="0.3">
      <c r="A473" s="10"/>
      <c r="B473" s="10"/>
      <c r="C473" s="10"/>
      <c r="D473" s="15"/>
      <c r="E473" s="16"/>
      <c r="F473" s="17"/>
      <c r="G473" s="17"/>
      <c r="H473" s="17"/>
      <c r="I473" s="17"/>
      <c r="J473" s="17"/>
      <c r="L473" s="1"/>
      <c r="M473" s="1"/>
      <c r="N473" s="1"/>
      <c r="O473" s="1"/>
      <c r="Y473" s="17"/>
      <c r="Z473" s="17"/>
      <c r="AA473" s="17"/>
      <c r="AB473" s="17"/>
    </row>
    <row r="474" spans="1:28" x14ac:dyDescent="0.3">
      <c r="A474" s="10"/>
      <c r="B474" s="10"/>
      <c r="C474" s="10"/>
      <c r="D474" s="15"/>
      <c r="E474" s="16"/>
      <c r="F474" s="17"/>
      <c r="G474" s="17"/>
      <c r="H474" s="17"/>
      <c r="I474" s="17"/>
      <c r="J474" s="17"/>
      <c r="L474" s="1"/>
      <c r="M474" s="1"/>
      <c r="N474" s="1"/>
      <c r="O474" s="1"/>
      <c r="Y474" s="17"/>
      <c r="Z474" s="17"/>
      <c r="AA474" s="17"/>
      <c r="AB474" s="17"/>
    </row>
    <row r="475" spans="1:28" x14ac:dyDescent="0.3">
      <c r="A475" s="10"/>
      <c r="B475" s="10"/>
      <c r="C475" s="10"/>
      <c r="D475" s="15"/>
      <c r="E475" s="16"/>
      <c r="F475" s="17"/>
      <c r="G475" s="17"/>
      <c r="H475" s="17"/>
      <c r="I475" s="17"/>
      <c r="J475" s="17"/>
      <c r="L475" s="1"/>
      <c r="M475" s="1"/>
      <c r="N475" s="1"/>
      <c r="O475" s="1"/>
      <c r="Y475" s="17"/>
      <c r="Z475" s="17"/>
      <c r="AA475" s="17"/>
      <c r="AB475" s="17"/>
    </row>
    <row r="476" spans="1:28" x14ac:dyDescent="0.3">
      <c r="A476" s="10"/>
      <c r="B476" s="10"/>
      <c r="C476" s="10"/>
      <c r="D476" s="15"/>
      <c r="E476" s="16"/>
      <c r="F476" s="17"/>
      <c r="G476" s="17"/>
      <c r="H476" s="17"/>
      <c r="I476" s="17"/>
      <c r="J476" s="17"/>
      <c r="L476" s="1"/>
      <c r="M476" s="1"/>
      <c r="N476" s="1"/>
      <c r="O476" s="1"/>
      <c r="Y476" s="17"/>
      <c r="Z476" s="17"/>
      <c r="AA476" s="17"/>
      <c r="AB476" s="17"/>
    </row>
    <row r="477" spans="1:28" x14ac:dyDescent="0.3">
      <c r="A477" s="10"/>
      <c r="B477" s="10"/>
      <c r="C477" s="10"/>
      <c r="D477" s="15"/>
      <c r="E477" s="16"/>
      <c r="F477" s="17"/>
      <c r="G477" s="17"/>
      <c r="H477" s="17"/>
      <c r="I477" s="17"/>
      <c r="J477" s="17"/>
      <c r="L477" s="1"/>
      <c r="M477" s="1"/>
      <c r="N477" s="1"/>
      <c r="O477" s="1"/>
      <c r="Y477" s="17"/>
      <c r="Z477" s="17"/>
      <c r="AA477" s="17"/>
      <c r="AB477" s="17"/>
    </row>
    <row r="478" spans="1:28" x14ac:dyDescent="0.3">
      <c r="A478"/>
      <c r="B478" s="10"/>
      <c r="C478" s="10"/>
      <c r="D478" s="15"/>
      <c r="E478" s="16"/>
      <c r="F478" s="17"/>
      <c r="G478" s="17"/>
      <c r="H478" s="17"/>
      <c r="I478" s="17"/>
      <c r="J478" s="17"/>
      <c r="L478" s="1"/>
      <c r="M478" s="1"/>
      <c r="N478" s="1"/>
      <c r="O478" s="1"/>
      <c r="Y478" s="17"/>
      <c r="Z478" s="17"/>
      <c r="AA478" s="17"/>
      <c r="AB478" s="17"/>
    </row>
    <row r="479" spans="1:28" x14ac:dyDescent="0.3">
      <c r="A479"/>
      <c r="B479" s="10"/>
      <c r="C479" s="10"/>
      <c r="D479" s="15"/>
      <c r="E479" s="16"/>
      <c r="F479" s="17"/>
      <c r="G479" s="17"/>
      <c r="H479" s="17"/>
      <c r="I479" s="17"/>
      <c r="J479" s="17"/>
      <c r="L479" s="1"/>
      <c r="M479" s="1"/>
      <c r="N479" s="1"/>
      <c r="O479" s="1"/>
      <c r="Y479" s="17"/>
      <c r="Z479" s="17"/>
      <c r="AA479" s="17"/>
      <c r="AB479" s="17"/>
    </row>
    <row r="480" spans="1:28" x14ac:dyDescent="0.3">
      <c r="A480" s="10"/>
      <c r="B480" s="10"/>
      <c r="C480" s="10"/>
      <c r="D480" s="15"/>
      <c r="E480" s="16"/>
      <c r="F480" s="17"/>
      <c r="G480" s="17"/>
      <c r="H480" s="17"/>
      <c r="I480" s="17"/>
      <c r="J480" s="17"/>
      <c r="L480" s="1"/>
      <c r="M480" s="1"/>
      <c r="N480" s="1"/>
      <c r="O480" s="1"/>
      <c r="Y480" s="17"/>
      <c r="Z480" s="17"/>
      <c r="AA480" s="17"/>
      <c r="AB480" s="17"/>
    </row>
    <row r="481" spans="1:28" x14ac:dyDescent="0.3">
      <c r="A481" s="10"/>
      <c r="B481" s="10"/>
      <c r="C481" s="10"/>
      <c r="D481" s="15"/>
      <c r="E481" s="16"/>
      <c r="F481" s="17"/>
      <c r="G481" s="17"/>
      <c r="H481" s="17"/>
      <c r="I481" s="17"/>
      <c r="J481" s="17"/>
      <c r="L481" s="1"/>
      <c r="M481" s="1"/>
      <c r="N481" s="1"/>
      <c r="O481" s="1"/>
      <c r="Y481" s="17"/>
      <c r="Z481" s="17"/>
      <c r="AA481" s="17"/>
      <c r="AB481" s="17"/>
    </row>
    <row r="482" spans="1:28" x14ac:dyDescent="0.3">
      <c r="A482" s="10"/>
      <c r="B482" s="10"/>
      <c r="C482" s="10"/>
      <c r="D482" s="15"/>
      <c r="E482" s="16"/>
      <c r="F482" s="17"/>
      <c r="G482" s="17"/>
      <c r="H482" s="17"/>
      <c r="I482" s="17"/>
      <c r="J482" s="17"/>
      <c r="L482" s="1"/>
      <c r="M482" s="1"/>
      <c r="N482" s="1"/>
      <c r="O482" s="1"/>
      <c r="Y482" s="17"/>
      <c r="Z482" s="17"/>
      <c r="AA482" s="17"/>
      <c r="AB482" s="17"/>
    </row>
    <row r="483" spans="1:28" x14ac:dyDescent="0.3">
      <c r="A483" s="10"/>
      <c r="B483" s="10"/>
      <c r="C483" s="10"/>
      <c r="D483" s="15"/>
      <c r="E483" s="16"/>
      <c r="F483" s="17"/>
      <c r="G483" s="17"/>
      <c r="H483" s="17"/>
      <c r="I483" s="17"/>
      <c r="J483" s="17"/>
      <c r="L483" s="1"/>
      <c r="M483" s="1"/>
      <c r="N483" s="1"/>
      <c r="O483" s="1"/>
      <c r="Y483" s="17"/>
      <c r="Z483" s="17"/>
      <c r="AA483" s="17"/>
      <c r="AB483" s="17"/>
    </row>
    <row r="484" spans="1:28" x14ac:dyDescent="0.3">
      <c r="A484" s="10"/>
      <c r="B484" s="10"/>
      <c r="C484" s="10"/>
      <c r="D484" s="15"/>
      <c r="E484" s="16"/>
      <c r="F484" s="17"/>
      <c r="G484" s="17"/>
      <c r="H484" s="17"/>
      <c r="I484" s="17"/>
      <c r="J484" s="17"/>
      <c r="L484" s="1"/>
      <c r="M484" s="1"/>
      <c r="N484" s="1"/>
      <c r="O484" s="1"/>
      <c r="Y484" s="17"/>
      <c r="Z484" s="17"/>
      <c r="AA484" s="17"/>
      <c r="AB484" s="17"/>
    </row>
    <row r="485" spans="1:28" x14ac:dyDescent="0.3">
      <c r="A485" s="10"/>
      <c r="B485" s="10"/>
      <c r="C485" s="10"/>
      <c r="D485" s="15"/>
      <c r="E485" s="16"/>
      <c r="F485" s="17"/>
      <c r="G485" s="17"/>
      <c r="H485" s="17"/>
      <c r="I485" s="17"/>
      <c r="J485" s="17"/>
      <c r="L485" s="1"/>
      <c r="M485" s="1"/>
      <c r="N485" s="1"/>
      <c r="O485" s="1"/>
      <c r="Y485" s="17"/>
      <c r="Z485" s="17"/>
      <c r="AA485" s="17"/>
      <c r="AB485" s="17"/>
    </row>
    <row r="486" spans="1:28" x14ac:dyDescent="0.3">
      <c r="A486" s="10"/>
      <c r="B486" s="10"/>
      <c r="C486" s="10"/>
      <c r="D486" s="15"/>
      <c r="E486" s="16"/>
      <c r="F486" s="17"/>
      <c r="G486" s="17"/>
      <c r="H486" s="17"/>
      <c r="I486" s="17"/>
      <c r="J486" s="17"/>
      <c r="L486" s="1"/>
      <c r="M486" s="1"/>
      <c r="N486" s="1"/>
      <c r="O486" s="1"/>
      <c r="Y486" s="17"/>
      <c r="Z486" s="17"/>
      <c r="AA486" s="17"/>
      <c r="AB486" s="17"/>
    </row>
    <row r="487" spans="1:28" x14ac:dyDescent="0.3">
      <c r="A487" s="10"/>
      <c r="B487" s="10"/>
      <c r="C487" s="10"/>
      <c r="D487" s="15"/>
      <c r="E487" s="16"/>
      <c r="F487" s="17"/>
      <c r="G487" s="17"/>
      <c r="H487" s="17"/>
      <c r="I487" s="17"/>
      <c r="J487" s="17"/>
      <c r="L487" s="1"/>
      <c r="M487" s="1"/>
      <c r="N487" s="1"/>
      <c r="O487" s="1"/>
      <c r="Y487" s="17"/>
      <c r="Z487" s="17"/>
      <c r="AA487" s="17"/>
      <c r="AB487" s="17"/>
    </row>
    <row r="488" spans="1:28" x14ac:dyDescent="0.3">
      <c r="A488" s="10"/>
      <c r="B488" s="10"/>
      <c r="C488" s="10"/>
      <c r="D488" s="15"/>
      <c r="E488" s="16"/>
      <c r="F488" s="17"/>
      <c r="G488" s="17"/>
      <c r="H488" s="17"/>
      <c r="I488" s="17"/>
      <c r="J488" s="17"/>
      <c r="L488" s="1"/>
      <c r="M488" s="1"/>
      <c r="N488" s="1"/>
      <c r="O488" s="1"/>
      <c r="Y488" s="17"/>
      <c r="Z488" s="17"/>
      <c r="AA488" s="17"/>
      <c r="AB488" s="17"/>
    </row>
    <row r="489" spans="1:28" x14ac:dyDescent="0.3">
      <c r="A489" s="10"/>
      <c r="B489" s="10"/>
      <c r="C489" s="10"/>
      <c r="D489" s="15"/>
      <c r="E489" s="16"/>
      <c r="F489" s="17"/>
      <c r="G489" s="17"/>
      <c r="H489" s="17"/>
      <c r="I489" s="17"/>
      <c r="J489" s="17"/>
      <c r="L489" s="1"/>
      <c r="M489" s="1"/>
      <c r="N489" s="1"/>
      <c r="O489" s="1"/>
      <c r="Y489" s="17"/>
      <c r="Z489" s="17"/>
      <c r="AA489" s="17"/>
      <c r="AB489" s="17"/>
    </row>
    <row r="490" spans="1:28" x14ac:dyDescent="0.3">
      <c r="A490" s="10"/>
      <c r="B490" s="10"/>
      <c r="C490" s="10"/>
      <c r="D490" s="15"/>
      <c r="E490" s="16"/>
      <c r="F490" s="17"/>
      <c r="G490" s="17"/>
      <c r="H490" s="17"/>
      <c r="I490" s="17"/>
      <c r="J490" s="17"/>
      <c r="L490" s="1"/>
      <c r="M490" s="1"/>
      <c r="N490" s="1"/>
      <c r="O490" s="1"/>
      <c r="Y490" s="17"/>
      <c r="Z490" s="17"/>
      <c r="AA490" s="17"/>
      <c r="AB490" s="17"/>
    </row>
    <row r="491" spans="1:28" x14ac:dyDescent="0.3">
      <c r="A491" s="10"/>
      <c r="B491" s="10"/>
      <c r="C491" s="10"/>
      <c r="D491" s="15"/>
      <c r="E491" s="16"/>
      <c r="F491" s="17"/>
      <c r="G491" s="17"/>
      <c r="H491" s="17"/>
      <c r="I491" s="17"/>
      <c r="J491" s="17"/>
      <c r="L491" s="1"/>
      <c r="M491" s="1"/>
      <c r="N491" s="1"/>
      <c r="O491" s="1"/>
      <c r="Y491" s="17"/>
      <c r="Z491" s="17"/>
      <c r="AA491" s="17"/>
      <c r="AB491" s="17"/>
    </row>
    <row r="492" spans="1:28" x14ac:dyDescent="0.3">
      <c r="A492" s="10"/>
      <c r="B492" s="10"/>
      <c r="C492" s="10"/>
      <c r="D492" s="15"/>
      <c r="E492" s="16"/>
      <c r="F492" s="17"/>
      <c r="G492" s="17"/>
      <c r="H492" s="17"/>
      <c r="I492" s="17"/>
      <c r="J492" s="17"/>
      <c r="L492" s="1"/>
      <c r="M492" s="1"/>
      <c r="N492" s="1"/>
      <c r="O492" s="1"/>
      <c r="Y492" s="17"/>
      <c r="Z492" s="17"/>
      <c r="AA492" s="17"/>
      <c r="AB492" s="17"/>
    </row>
    <row r="493" spans="1:28" x14ac:dyDescent="0.3">
      <c r="A493" s="10"/>
      <c r="B493" s="10"/>
      <c r="C493" s="10"/>
      <c r="D493" s="15"/>
      <c r="E493" s="16"/>
      <c r="F493" s="17"/>
      <c r="G493" s="17"/>
      <c r="H493" s="17"/>
      <c r="I493" s="17"/>
      <c r="J493" s="17"/>
      <c r="L493" s="1"/>
      <c r="M493" s="1"/>
      <c r="N493" s="1"/>
      <c r="O493" s="1"/>
      <c r="Y493" s="17"/>
      <c r="Z493" s="17"/>
      <c r="AA493" s="17"/>
      <c r="AB493" s="17"/>
    </row>
    <row r="494" spans="1:28" x14ac:dyDescent="0.3">
      <c r="A494" s="10"/>
      <c r="B494" s="10"/>
      <c r="C494" s="10"/>
      <c r="D494" s="15"/>
      <c r="E494" s="16"/>
      <c r="F494" s="17"/>
      <c r="G494" s="17"/>
      <c r="H494" s="17"/>
      <c r="I494" s="17"/>
      <c r="J494" s="17"/>
      <c r="L494" s="1"/>
      <c r="M494" s="1"/>
      <c r="N494" s="1"/>
      <c r="O494" s="1"/>
      <c r="Y494" s="17"/>
      <c r="Z494" s="17"/>
      <c r="AA494" s="17"/>
      <c r="AB494" s="17"/>
    </row>
    <row r="495" spans="1:28" x14ac:dyDescent="0.3">
      <c r="A495" s="10"/>
      <c r="B495" s="10"/>
      <c r="C495" s="10"/>
      <c r="D495" s="15"/>
      <c r="E495" s="16"/>
      <c r="F495" s="17"/>
      <c r="G495" s="17"/>
      <c r="H495" s="17"/>
      <c r="I495" s="17"/>
      <c r="J495" s="17"/>
      <c r="L495" s="1"/>
      <c r="M495" s="1"/>
      <c r="N495" s="1"/>
      <c r="O495" s="1"/>
      <c r="Y495" s="17"/>
      <c r="Z495" s="17"/>
      <c r="AA495" s="17"/>
      <c r="AB495" s="17"/>
    </row>
    <row r="496" spans="1:28" x14ac:dyDescent="0.3">
      <c r="A496" s="10"/>
      <c r="B496" s="10"/>
      <c r="C496" s="10"/>
      <c r="D496" s="15"/>
      <c r="E496" s="16"/>
      <c r="F496" s="17"/>
      <c r="G496" s="17"/>
      <c r="H496" s="17"/>
      <c r="I496" s="17"/>
      <c r="J496" s="17"/>
      <c r="L496" s="1"/>
      <c r="M496" s="1"/>
      <c r="N496" s="1"/>
      <c r="O496" s="1"/>
      <c r="Y496" s="17"/>
      <c r="Z496" s="17"/>
      <c r="AA496" s="17"/>
      <c r="AB496" s="17"/>
    </row>
    <row r="497" spans="1:28" x14ac:dyDescent="0.3">
      <c r="A497" s="10"/>
      <c r="B497" s="10"/>
      <c r="C497" s="10"/>
      <c r="D497" s="15"/>
      <c r="E497" s="16"/>
      <c r="F497" s="17"/>
      <c r="G497" s="17"/>
      <c r="H497" s="17"/>
      <c r="I497" s="17"/>
      <c r="J497" s="17"/>
      <c r="L497" s="1"/>
      <c r="M497" s="1"/>
      <c r="N497" s="1"/>
      <c r="O497" s="1"/>
      <c r="Y497" s="17"/>
      <c r="Z497" s="17"/>
      <c r="AA497" s="17"/>
      <c r="AB497" s="17"/>
    </row>
    <row r="498" spans="1:28" x14ac:dyDescent="0.3">
      <c r="A498" s="10"/>
      <c r="B498" s="10"/>
      <c r="C498" s="10"/>
      <c r="D498" s="15"/>
      <c r="E498" s="16"/>
      <c r="F498" s="17"/>
      <c r="G498" s="17"/>
      <c r="H498" s="17"/>
      <c r="I498" s="17"/>
      <c r="J498" s="17"/>
      <c r="L498" s="1"/>
      <c r="M498" s="1"/>
      <c r="N498" s="1"/>
      <c r="O498" s="1"/>
      <c r="Y498" s="17"/>
      <c r="Z498" s="17"/>
      <c r="AA498" s="17"/>
      <c r="AB498" s="17"/>
    </row>
    <row r="499" spans="1:28" x14ac:dyDescent="0.3">
      <c r="A499" s="10"/>
      <c r="B499" s="10"/>
      <c r="C499" s="10"/>
      <c r="D499" s="15"/>
      <c r="E499" s="16"/>
      <c r="F499" s="17"/>
      <c r="G499" s="17"/>
      <c r="H499" s="17"/>
      <c r="I499" s="17"/>
      <c r="J499" s="17"/>
      <c r="L499" s="1"/>
      <c r="M499" s="1"/>
      <c r="N499" s="1"/>
      <c r="O499" s="1"/>
      <c r="Y499" s="17"/>
      <c r="Z499" s="17"/>
      <c r="AA499" s="17"/>
      <c r="AB499" s="17"/>
    </row>
    <row r="500" spans="1:28" x14ac:dyDescent="0.3">
      <c r="A500" s="10"/>
      <c r="B500" s="10"/>
      <c r="C500" s="10"/>
      <c r="D500" s="15"/>
      <c r="E500" s="16"/>
      <c r="F500" s="17"/>
      <c r="G500" s="17"/>
      <c r="H500" s="17"/>
      <c r="I500" s="17"/>
      <c r="J500" s="17"/>
      <c r="L500" s="1"/>
      <c r="M500" s="1"/>
      <c r="N500" s="1"/>
      <c r="O500" s="1"/>
      <c r="Y500" s="17"/>
      <c r="Z500" s="17"/>
      <c r="AA500" s="17"/>
      <c r="AB500" s="17"/>
    </row>
    <row r="501" spans="1:28" x14ac:dyDescent="0.3">
      <c r="A501" s="10"/>
      <c r="B501" s="10"/>
      <c r="C501" s="10"/>
      <c r="D501" s="15"/>
      <c r="E501" s="16"/>
      <c r="F501" s="17"/>
      <c r="G501" s="17"/>
      <c r="H501" s="17"/>
      <c r="I501" s="17"/>
      <c r="J501" s="17"/>
      <c r="L501" s="1"/>
      <c r="M501" s="1"/>
      <c r="N501" s="1"/>
      <c r="O501" s="1"/>
      <c r="Y501" s="17"/>
      <c r="Z501" s="17"/>
      <c r="AA501" s="17"/>
      <c r="AB501" s="17"/>
    </row>
    <row r="502" spans="1:28" x14ac:dyDescent="0.3">
      <c r="A502" s="10"/>
      <c r="B502" s="10"/>
      <c r="C502" s="10"/>
      <c r="D502" s="15"/>
      <c r="E502" s="16"/>
      <c r="F502" s="17"/>
      <c r="G502" s="17"/>
      <c r="H502" s="17"/>
      <c r="I502" s="17"/>
      <c r="J502" s="17"/>
      <c r="L502" s="1"/>
      <c r="M502" s="1"/>
      <c r="N502" s="1"/>
      <c r="O502" s="1"/>
      <c r="Y502" s="17"/>
      <c r="Z502" s="17"/>
      <c r="AA502" s="17"/>
      <c r="AB502" s="17"/>
    </row>
    <row r="503" spans="1:28" x14ac:dyDescent="0.3">
      <c r="A503" s="10"/>
      <c r="B503" s="10"/>
      <c r="C503" s="10"/>
      <c r="D503" s="15"/>
      <c r="E503" s="16"/>
      <c r="F503" s="17"/>
      <c r="G503" s="17"/>
      <c r="H503" s="17"/>
      <c r="I503" s="17"/>
      <c r="J503" s="17"/>
      <c r="L503" s="1"/>
      <c r="M503" s="1"/>
      <c r="N503" s="1"/>
      <c r="O503" s="1"/>
      <c r="Y503" s="17"/>
      <c r="Z503" s="17"/>
      <c r="AA503" s="17"/>
      <c r="AB503" s="17"/>
    </row>
    <row r="504" spans="1:28" x14ac:dyDescent="0.3">
      <c r="A504" s="10"/>
      <c r="B504" s="10"/>
      <c r="C504" s="10"/>
      <c r="D504" s="15"/>
      <c r="E504" s="16"/>
      <c r="F504" s="17"/>
      <c r="G504" s="17"/>
      <c r="H504" s="17"/>
      <c r="I504" s="17"/>
      <c r="J504" s="17"/>
      <c r="L504" s="1"/>
      <c r="M504" s="1"/>
      <c r="N504" s="1"/>
      <c r="O504" s="1"/>
      <c r="Y504" s="17"/>
      <c r="Z504" s="17"/>
      <c r="AA504" s="17"/>
      <c r="AB504" s="17"/>
    </row>
    <row r="505" spans="1:28" x14ac:dyDescent="0.3">
      <c r="A505" s="10"/>
      <c r="B505" s="10"/>
      <c r="C505" s="10"/>
      <c r="D505" s="15"/>
      <c r="E505" s="16"/>
      <c r="F505" s="17"/>
      <c r="G505" s="17"/>
      <c r="H505" s="17"/>
      <c r="I505" s="17"/>
      <c r="J505" s="17"/>
      <c r="L505" s="1"/>
      <c r="M505" s="1"/>
      <c r="N505" s="1"/>
      <c r="O505" s="1"/>
      <c r="Y505" s="17"/>
      <c r="Z505" s="17"/>
      <c r="AA505" s="17"/>
      <c r="AB505" s="17"/>
    </row>
    <row r="506" spans="1:28" x14ac:dyDescent="0.3">
      <c r="A506" s="10"/>
      <c r="B506" s="10"/>
      <c r="C506" s="10"/>
      <c r="D506" s="15"/>
      <c r="E506" s="16"/>
      <c r="F506" s="17"/>
      <c r="G506" s="17"/>
      <c r="H506" s="17"/>
      <c r="I506" s="17"/>
      <c r="J506" s="17"/>
      <c r="L506" s="1"/>
      <c r="M506" s="1"/>
      <c r="N506" s="1"/>
      <c r="O506" s="1"/>
      <c r="Y506" s="17"/>
      <c r="Z506" s="17"/>
      <c r="AA506" s="17"/>
      <c r="AB506" s="17"/>
    </row>
    <row r="507" spans="1:28" x14ac:dyDescent="0.3">
      <c r="A507" s="10"/>
      <c r="B507" s="10"/>
      <c r="C507" s="10"/>
      <c r="D507" s="15"/>
      <c r="E507" s="16"/>
      <c r="F507" s="17"/>
      <c r="G507" s="17"/>
      <c r="H507" s="17"/>
      <c r="I507" s="17"/>
      <c r="J507" s="17"/>
      <c r="L507" s="1"/>
      <c r="M507" s="1"/>
      <c r="N507" s="1"/>
      <c r="O507" s="1"/>
      <c r="Y507" s="17"/>
      <c r="Z507" s="17"/>
      <c r="AA507" s="17"/>
      <c r="AB507" s="17"/>
    </row>
    <row r="508" spans="1:28" x14ac:dyDescent="0.3">
      <c r="A508" s="10"/>
      <c r="B508" s="10"/>
      <c r="C508" s="10"/>
      <c r="D508" s="15"/>
      <c r="E508" s="16"/>
      <c r="F508" s="17"/>
      <c r="G508" s="17"/>
      <c r="H508" s="17"/>
      <c r="I508" s="17"/>
      <c r="J508" s="17"/>
      <c r="L508" s="1"/>
      <c r="M508" s="1"/>
      <c r="N508" s="1"/>
      <c r="O508" s="1"/>
      <c r="Y508" s="17"/>
      <c r="Z508" s="17"/>
      <c r="AA508" s="17"/>
      <c r="AB508" s="17"/>
    </row>
    <row r="509" spans="1:28" x14ac:dyDescent="0.3">
      <c r="A509" s="10"/>
      <c r="B509" s="10"/>
      <c r="C509" s="10"/>
      <c r="D509" s="15"/>
      <c r="E509" s="16"/>
      <c r="F509" s="17"/>
      <c r="G509" s="17"/>
      <c r="H509" s="17"/>
      <c r="I509" s="17"/>
      <c r="J509" s="17"/>
      <c r="L509" s="1"/>
      <c r="M509" s="1"/>
      <c r="N509" s="1"/>
      <c r="O509" s="1"/>
      <c r="Y509" s="17"/>
      <c r="Z509" s="17"/>
      <c r="AA509" s="17"/>
      <c r="AB509" s="17"/>
    </row>
    <row r="510" spans="1:28" x14ac:dyDescent="0.3">
      <c r="A510" s="10"/>
      <c r="B510" s="10"/>
      <c r="C510" s="10"/>
      <c r="D510" s="15"/>
      <c r="E510" s="16"/>
      <c r="F510" s="17"/>
      <c r="G510" s="17"/>
      <c r="H510" s="17"/>
      <c r="I510" s="17"/>
      <c r="J510" s="17"/>
      <c r="L510" s="1"/>
      <c r="M510" s="1"/>
      <c r="N510" s="1"/>
      <c r="O510" s="1"/>
      <c r="Y510" s="17"/>
      <c r="Z510" s="17"/>
      <c r="AA510" s="17"/>
      <c r="AB510" s="17"/>
    </row>
    <row r="511" spans="1:28" x14ac:dyDescent="0.3">
      <c r="A511" s="10"/>
      <c r="B511" s="10"/>
      <c r="C511" s="10"/>
      <c r="D511" s="15"/>
      <c r="E511" s="16"/>
      <c r="F511" s="17"/>
      <c r="G511" s="17"/>
      <c r="H511" s="17"/>
      <c r="I511" s="17"/>
      <c r="J511" s="17"/>
      <c r="L511" s="1"/>
      <c r="M511" s="1"/>
      <c r="N511" s="1"/>
      <c r="O511" s="1"/>
      <c r="Y511" s="17"/>
      <c r="Z511" s="17"/>
      <c r="AA511" s="17"/>
      <c r="AB511" s="17"/>
    </row>
    <row r="512" spans="1:28" x14ac:dyDescent="0.3">
      <c r="A512" s="10"/>
      <c r="B512" s="10"/>
      <c r="C512" s="10"/>
      <c r="D512" s="15"/>
      <c r="E512" s="16"/>
      <c r="F512" s="17"/>
      <c r="G512" s="17"/>
      <c r="H512" s="17"/>
      <c r="I512" s="17"/>
      <c r="J512" s="17"/>
      <c r="L512" s="1"/>
      <c r="M512" s="1"/>
      <c r="N512" s="1"/>
      <c r="O512" s="1"/>
      <c r="Y512" s="17"/>
      <c r="Z512" s="17"/>
      <c r="AA512" s="17"/>
      <c r="AB512" s="17"/>
    </row>
    <row r="513" spans="1:28" x14ac:dyDescent="0.3">
      <c r="A513" s="10"/>
      <c r="B513" s="10"/>
      <c r="C513" s="10"/>
      <c r="D513" s="15"/>
      <c r="E513" s="16"/>
      <c r="F513" s="17"/>
      <c r="G513" s="17"/>
      <c r="H513" s="17"/>
      <c r="I513" s="17"/>
      <c r="J513" s="17"/>
      <c r="L513" s="1"/>
      <c r="M513" s="1"/>
      <c r="N513" s="1"/>
      <c r="O513" s="1"/>
      <c r="Y513" s="17"/>
      <c r="Z513" s="17"/>
      <c r="AA513" s="17"/>
      <c r="AB513" s="17"/>
    </row>
    <row r="514" spans="1:28" x14ac:dyDescent="0.3">
      <c r="A514" s="10"/>
      <c r="B514" s="10"/>
      <c r="C514" s="10"/>
      <c r="D514" s="15"/>
      <c r="E514" s="16"/>
      <c r="F514" s="17"/>
      <c r="G514" s="17"/>
      <c r="H514" s="17"/>
      <c r="I514" s="17"/>
      <c r="J514" s="17"/>
      <c r="L514" s="1"/>
      <c r="M514" s="1"/>
      <c r="N514" s="1"/>
      <c r="O514" s="1"/>
      <c r="Y514" s="17"/>
      <c r="Z514" s="17"/>
      <c r="AA514" s="17"/>
      <c r="AB514" s="17"/>
    </row>
    <row r="515" spans="1:28" x14ac:dyDescent="0.3">
      <c r="A515" s="10"/>
      <c r="B515" s="10"/>
      <c r="C515" s="10"/>
      <c r="D515" s="15"/>
      <c r="E515" s="16"/>
      <c r="F515" s="17"/>
      <c r="G515" s="17"/>
      <c r="H515" s="17"/>
      <c r="I515" s="17"/>
      <c r="J515" s="17"/>
      <c r="L515" s="1"/>
      <c r="M515" s="1"/>
      <c r="N515" s="1"/>
      <c r="O515" s="1"/>
      <c r="Y515" s="17"/>
      <c r="Z515" s="17"/>
      <c r="AA515" s="17"/>
      <c r="AB515" s="17"/>
    </row>
    <row r="516" spans="1:28" x14ac:dyDescent="0.3">
      <c r="A516" s="10"/>
      <c r="B516" s="10"/>
      <c r="C516" s="10"/>
      <c r="D516" s="15"/>
      <c r="E516" s="16"/>
      <c r="F516" s="17"/>
      <c r="G516" s="17"/>
      <c r="H516" s="17"/>
      <c r="I516" s="17"/>
      <c r="J516" s="17"/>
      <c r="L516" s="1"/>
      <c r="M516" s="1"/>
      <c r="N516" s="1"/>
      <c r="O516" s="1"/>
      <c r="Y516" s="17"/>
      <c r="Z516" s="17"/>
      <c r="AA516" s="17"/>
      <c r="AB516" s="17"/>
    </row>
    <row r="517" spans="1:28" x14ac:dyDescent="0.3">
      <c r="A517" s="10"/>
      <c r="B517" s="10"/>
      <c r="C517" s="10"/>
      <c r="D517" s="15"/>
      <c r="E517" s="16"/>
      <c r="F517" s="17"/>
      <c r="G517" s="17"/>
      <c r="H517" s="17"/>
      <c r="I517" s="17"/>
      <c r="J517" s="17"/>
      <c r="L517" s="1"/>
      <c r="M517" s="1"/>
      <c r="N517" s="1"/>
      <c r="O517" s="1"/>
      <c r="Y517" s="17"/>
      <c r="Z517" s="17"/>
      <c r="AA517" s="17"/>
      <c r="AB517" s="17"/>
    </row>
    <row r="518" spans="1:28" x14ac:dyDescent="0.3">
      <c r="A518" s="10"/>
      <c r="B518" s="10"/>
      <c r="C518" s="10"/>
      <c r="D518" s="15"/>
      <c r="E518" s="16"/>
      <c r="F518" s="17"/>
      <c r="G518" s="17"/>
      <c r="H518" s="17"/>
      <c r="I518" s="17"/>
      <c r="J518" s="17"/>
      <c r="L518" s="1"/>
      <c r="M518" s="1"/>
      <c r="N518" s="1"/>
      <c r="O518" s="1"/>
      <c r="Y518" s="17"/>
      <c r="Z518" s="17"/>
      <c r="AA518" s="17"/>
      <c r="AB518" s="17"/>
    </row>
    <row r="519" spans="1:28" x14ac:dyDescent="0.3">
      <c r="A519" s="10"/>
      <c r="B519" s="10"/>
      <c r="C519" s="10"/>
      <c r="D519" s="15"/>
      <c r="E519" s="16"/>
      <c r="F519" s="17"/>
      <c r="G519" s="17"/>
      <c r="H519" s="17"/>
      <c r="I519" s="17"/>
      <c r="J519" s="17"/>
      <c r="L519" s="1"/>
      <c r="M519" s="1"/>
      <c r="N519" s="1"/>
      <c r="O519" s="1"/>
      <c r="Y519" s="17"/>
      <c r="Z519" s="17"/>
      <c r="AA519" s="17"/>
      <c r="AB519" s="17"/>
    </row>
    <row r="520" spans="1:28" x14ac:dyDescent="0.3">
      <c r="A520" s="10"/>
      <c r="B520" s="10"/>
      <c r="C520" s="10"/>
      <c r="D520" s="15"/>
      <c r="E520" s="16"/>
      <c r="F520" s="17"/>
      <c r="G520" s="17"/>
      <c r="H520" s="17"/>
      <c r="I520" s="17"/>
      <c r="J520" s="17"/>
      <c r="L520" s="1"/>
      <c r="M520" s="1"/>
      <c r="N520" s="1"/>
      <c r="O520" s="1"/>
      <c r="Y520" s="17"/>
      <c r="Z520" s="17"/>
      <c r="AA520" s="17"/>
      <c r="AB520" s="17"/>
    </row>
    <row r="521" spans="1:28" x14ac:dyDescent="0.3">
      <c r="A521" s="10"/>
      <c r="B521" s="10"/>
      <c r="C521" s="10"/>
      <c r="D521" s="15"/>
      <c r="E521" s="16"/>
      <c r="F521" s="17"/>
      <c r="G521" s="17"/>
      <c r="H521" s="17"/>
      <c r="I521" s="17"/>
      <c r="J521" s="17"/>
      <c r="L521" s="1"/>
      <c r="M521" s="1"/>
      <c r="N521" s="1"/>
      <c r="O521" s="1"/>
      <c r="Y521" s="17"/>
      <c r="Z521" s="17"/>
      <c r="AA521" s="17"/>
      <c r="AB521" s="17"/>
    </row>
    <row r="522" spans="1:28" x14ac:dyDescent="0.3">
      <c r="A522" s="10"/>
      <c r="B522" s="10"/>
      <c r="C522" s="10"/>
      <c r="D522" s="15"/>
      <c r="E522" s="16"/>
      <c r="F522" s="17"/>
      <c r="G522" s="17"/>
      <c r="H522" s="17"/>
      <c r="I522" s="17"/>
      <c r="J522" s="17"/>
      <c r="L522" s="1"/>
      <c r="M522" s="1"/>
      <c r="N522" s="1"/>
      <c r="O522" s="1"/>
      <c r="Y522" s="17"/>
      <c r="Z522" s="17"/>
      <c r="AA522" s="17"/>
      <c r="AB522" s="17"/>
    </row>
    <row r="523" spans="1:28" x14ac:dyDescent="0.3">
      <c r="A523" s="10"/>
      <c r="B523" s="10"/>
      <c r="C523" s="10"/>
      <c r="D523" s="15"/>
      <c r="E523" s="16"/>
      <c r="F523" s="17"/>
      <c r="G523" s="17"/>
      <c r="H523" s="17"/>
      <c r="I523" s="17"/>
      <c r="J523" s="17"/>
      <c r="L523" s="1"/>
      <c r="M523" s="1"/>
      <c r="N523" s="1"/>
      <c r="O523" s="1"/>
      <c r="Y523" s="17"/>
      <c r="Z523" s="17"/>
      <c r="AA523" s="17"/>
      <c r="AB523" s="17"/>
    </row>
    <row r="524" spans="1:28" x14ac:dyDescent="0.3">
      <c r="A524" s="10"/>
      <c r="B524" s="10"/>
      <c r="C524" s="10"/>
      <c r="D524" s="15"/>
      <c r="E524" s="16"/>
      <c r="F524" s="17"/>
      <c r="G524" s="17"/>
      <c r="H524" s="17"/>
      <c r="I524" s="17"/>
      <c r="J524" s="17"/>
      <c r="L524" s="1"/>
      <c r="M524" s="1"/>
      <c r="N524" s="1"/>
      <c r="O524" s="1"/>
      <c r="Y524" s="17"/>
      <c r="Z524" s="17"/>
      <c r="AA524" s="17"/>
      <c r="AB524" s="17"/>
    </row>
    <row r="525" spans="1:28" x14ac:dyDescent="0.3">
      <c r="A525" s="10"/>
      <c r="B525" s="10"/>
      <c r="C525" s="10"/>
      <c r="D525" s="15"/>
      <c r="E525" s="16"/>
      <c r="F525" s="17"/>
      <c r="G525" s="17"/>
      <c r="H525" s="17"/>
      <c r="I525" s="17"/>
      <c r="J525" s="17"/>
      <c r="L525" s="1"/>
      <c r="M525" s="1"/>
      <c r="N525" s="1"/>
      <c r="O525" s="1"/>
      <c r="Y525" s="17"/>
      <c r="Z525" s="17"/>
      <c r="AA525" s="17"/>
      <c r="AB525" s="17"/>
    </row>
    <row r="526" spans="1:28" x14ac:dyDescent="0.3">
      <c r="A526" s="10"/>
      <c r="B526" s="10"/>
      <c r="C526" s="10"/>
      <c r="D526" s="15"/>
      <c r="E526" s="16"/>
      <c r="F526" s="17"/>
      <c r="G526" s="17"/>
      <c r="H526" s="17"/>
      <c r="I526" s="17"/>
      <c r="J526" s="17"/>
      <c r="L526" s="1"/>
      <c r="M526" s="1"/>
      <c r="N526" s="1"/>
      <c r="O526" s="1"/>
      <c r="Y526" s="17"/>
      <c r="Z526" s="17"/>
      <c r="AA526" s="17"/>
      <c r="AB526" s="17"/>
    </row>
    <row r="527" spans="1:28" x14ac:dyDescent="0.3">
      <c r="A527" s="10"/>
      <c r="B527" s="10"/>
      <c r="C527" s="10"/>
      <c r="D527" s="15"/>
      <c r="E527" s="16"/>
      <c r="F527" s="17"/>
      <c r="G527" s="17"/>
      <c r="H527" s="17"/>
      <c r="I527" s="17"/>
      <c r="J527" s="17"/>
      <c r="L527" s="1"/>
      <c r="M527" s="1"/>
      <c r="N527" s="1"/>
      <c r="O527" s="1"/>
      <c r="Y527" s="17"/>
      <c r="Z527" s="17"/>
      <c r="AA527" s="17"/>
      <c r="AB527" s="17"/>
    </row>
    <row r="528" spans="1:28" x14ac:dyDescent="0.3">
      <c r="A528" s="10"/>
      <c r="B528" s="10"/>
      <c r="C528" s="10"/>
      <c r="D528" s="15"/>
      <c r="E528" s="16"/>
      <c r="F528" s="17"/>
      <c r="G528" s="17"/>
      <c r="H528" s="17"/>
      <c r="I528" s="17"/>
      <c r="J528" s="17"/>
      <c r="L528" s="1"/>
      <c r="M528" s="1"/>
      <c r="N528" s="1"/>
      <c r="O528" s="1"/>
      <c r="Y528" s="17"/>
      <c r="Z528" s="17"/>
      <c r="AA528" s="17"/>
      <c r="AB528" s="17"/>
    </row>
    <row r="529" spans="1:28" x14ac:dyDescent="0.3">
      <c r="A529" s="10"/>
      <c r="B529" s="10"/>
      <c r="C529" s="10"/>
      <c r="D529" s="15"/>
      <c r="E529" s="16"/>
      <c r="F529" s="17"/>
      <c r="G529" s="17"/>
      <c r="H529" s="17"/>
      <c r="I529" s="17"/>
      <c r="J529" s="17"/>
      <c r="L529" s="1"/>
      <c r="M529" s="1"/>
      <c r="N529" s="1"/>
      <c r="O529" s="1"/>
      <c r="Y529" s="17"/>
      <c r="Z529" s="17"/>
      <c r="AA529" s="17"/>
      <c r="AB529" s="17"/>
    </row>
    <row r="530" spans="1:28" x14ac:dyDescent="0.3">
      <c r="A530" s="10"/>
      <c r="B530" s="10"/>
      <c r="C530" s="10"/>
      <c r="D530" s="15"/>
      <c r="E530" s="16"/>
      <c r="F530" s="17"/>
      <c r="G530" s="17"/>
      <c r="H530" s="17"/>
      <c r="I530" s="17"/>
      <c r="J530" s="17"/>
      <c r="L530" s="1"/>
      <c r="M530" s="1"/>
      <c r="N530" s="1"/>
      <c r="O530" s="1"/>
      <c r="Y530" s="17"/>
      <c r="Z530" s="17"/>
      <c r="AA530" s="17"/>
      <c r="AB530" s="17"/>
    </row>
    <row r="531" spans="1:28" x14ac:dyDescent="0.3">
      <c r="A531" s="10"/>
      <c r="B531" s="10"/>
      <c r="C531" s="10"/>
      <c r="D531" s="15"/>
      <c r="E531" s="16"/>
      <c r="F531" s="17"/>
      <c r="G531" s="17"/>
      <c r="H531" s="17"/>
      <c r="I531" s="17"/>
      <c r="J531" s="17"/>
      <c r="L531" s="1"/>
      <c r="M531" s="1"/>
      <c r="N531" s="1"/>
      <c r="O531" s="1"/>
      <c r="Y531" s="17"/>
      <c r="Z531" s="17"/>
      <c r="AA531" s="17"/>
      <c r="AB531" s="17"/>
    </row>
    <row r="532" spans="1:28" x14ac:dyDescent="0.3">
      <c r="A532" s="10"/>
      <c r="B532" s="10"/>
      <c r="C532" s="10"/>
      <c r="D532" s="15"/>
      <c r="E532" s="16"/>
      <c r="F532" s="17"/>
      <c r="G532" s="17"/>
      <c r="H532" s="17"/>
      <c r="I532" s="17"/>
      <c r="J532" s="17"/>
      <c r="L532" s="1"/>
      <c r="M532" s="1"/>
      <c r="N532" s="1"/>
      <c r="O532" s="1"/>
      <c r="Y532" s="17"/>
      <c r="Z532" s="17"/>
      <c r="AA532" s="17"/>
      <c r="AB532" s="17"/>
    </row>
    <row r="533" spans="1:28" x14ac:dyDescent="0.3">
      <c r="A533" s="10"/>
      <c r="B533" s="10"/>
      <c r="C533" s="10"/>
      <c r="D533" s="15"/>
      <c r="E533" s="16"/>
      <c r="F533" s="17"/>
      <c r="G533" s="17"/>
      <c r="H533" s="17"/>
      <c r="I533" s="17"/>
      <c r="J533" s="17"/>
      <c r="L533" s="1"/>
      <c r="M533" s="1"/>
      <c r="N533" s="1"/>
      <c r="O533" s="1"/>
      <c r="Y533" s="17"/>
      <c r="Z533" s="17"/>
      <c r="AA533" s="17"/>
      <c r="AB533" s="17"/>
    </row>
    <row r="534" spans="1:28" x14ac:dyDescent="0.3">
      <c r="A534" s="10"/>
      <c r="B534" s="10"/>
      <c r="C534" s="10"/>
      <c r="D534" s="15"/>
      <c r="E534" s="16"/>
      <c r="F534" s="17"/>
      <c r="G534" s="17"/>
      <c r="H534" s="17"/>
      <c r="I534" s="17"/>
      <c r="J534" s="17"/>
      <c r="L534" s="1"/>
      <c r="M534" s="1"/>
      <c r="N534" s="1"/>
      <c r="O534" s="1"/>
      <c r="Y534" s="17"/>
      <c r="Z534" s="17"/>
      <c r="AA534" s="17"/>
      <c r="AB534" s="17"/>
    </row>
    <row r="535" spans="1:28" x14ac:dyDescent="0.3">
      <c r="A535" s="10"/>
      <c r="B535" s="10"/>
      <c r="C535" s="10"/>
      <c r="D535" s="15"/>
      <c r="E535" s="16"/>
      <c r="F535" s="17"/>
      <c r="G535" s="17"/>
      <c r="H535" s="17"/>
      <c r="I535" s="17"/>
      <c r="J535" s="17"/>
      <c r="L535" s="1"/>
      <c r="M535" s="1"/>
      <c r="N535" s="1"/>
      <c r="O535" s="1"/>
      <c r="Y535" s="17"/>
      <c r="Z535" s="17"/>
      <c r="AA535" s="17"/>
      <c r="AB535" s="17"/>
    </row>
    <row r="536" spans="1:28" x14ac:dyDescent="0.3">
      <c r="A536" s="10"/>
      <c r="B536" s="10"/>
      <c r="C536" s="10"/>
      <c r="D536" s="15"/>
      <c r="E536" s="16"/>
      <c r="F536" s="17"/>
      <c r="G536" s="17"/>
      <c r="H536" s="17"/>
      <c r="I536" s="17"/>
      <c r="J536" s="17"/>
      <c r="L536" s="1"/>
      <c r="M536" s="1"/>
      <c r="N536" s="1"/>
      <c r="O536" s="1"/>
      <c r="Y536" s="17"/>
      <c r="Z536" s="17"/>
      <c r="AA536" s="17"/>
      <c r="AB536" s="17"/>
    </row>
    <row r="537" spans="1:28" x14ac:dyDescent="0.3">
      <c r="A537" s="10"/>
      <c r="B537" s="10"/>
      <c r="C537" s="10"/>
      <c r="D537" s="15"/>
      <c r="E537" s="16"/>
      <c r="F537" s="17"/>
      <c r="G537" s="17"/>
      <c r="H537" s="17"/>
      <c r="I537" s="17"/>
      <c r="J537" s="17"/>
      <c r="L537" s="1"/>
      <c r="M537" s="1"/>
      <c r="N537" s="1"/>
      <c r="O537" s="1"/>
      <c r="Y537" s="17"/>
      <c r="Z537" s="17"/>
      <c r="AA537" s="17"/>
      <c r="AB537" s="17"/>
    </row>
    <row r="538" spans="1:28" x14ac:dyDescent="0.3">
      <c r="A538" s="10"/>
      <c r="B538" s="10"/>
      <c r="C538" s="10"/>
      <c r="D538" s="15"/>
      <c r="E538" s="16"/>
      <c r="F538" s="17"/>
      <c r="G538" s="17"/>
      <c r="H538" s="17"/>
      <c r="I538" s="17"/>
      <c r="J538" s="17"/>
      <c r="L538" s="1"/>
      <c r="M538" s="1"/>
      <c r="N538" s="1"/>
      <c r="O538" s="1"/>
      <c r="Y538" s="17"/>
      <c r="Z538" s="17"/>
      <c r="AA538" s="17"/>
      <c r="AB538" s="17"/>
    </row>
    <row r="539" spans="1:28" x14ac:dyDescent="0.3">
      <c r="A539" s="10"/>
      <c r="B539" s="10"/>
      <c r="C539" s="10"/>
      <c r="D539" s="15"/>
      <c r="E539" s="16"/>
      <c r="F539" s="17"/>
      <c r="G539" s="17"/>
      <c r="H539" s="17"/>
      <c r="I539" s="17"/>
      <c r="J539" s="17"/>
      <c r="L539" s="1"/>
      <c r="M539" s="1"/>
      <c r="N539" s="1"/>
      <c r="O539" s="1"/>
      <c r="Y539" s="17"/>
      <c r="Z539" s="17"/>
      <c r="AA539" s="17"/>
      <c r="AB539" s="17"/>
    </row>
    <row r="540" spans="1:28" x14ac:dyDescent="0.3">
      <c r="A540" s="10"/>
      <c r="B540" s="10"/>
      <c r="C540" s="10"/>
      <c r="D540" s="15"/>
      <c r="E540" s="16"/>
      <c r="F540" s="17"/>
      <c r="G540" s="17"/>
      <c r="H540" s="17"/>
      <c r="I540" s="17"/>
      <c r="J540" s="17"/>
      <c r="L540" s="1"/>
      <c r="M540" s="1"/>
      <c r="N540" s="1"/>
      <c r="O540" s="1"/>
      <c r="Y540" s="17"/>
      <c r="Z540" s="17"/>
      <c r="AA540" s="17"/>
      <c r="AB540" s="17"/>
    </row>
    <row r="541" spans="1:28" x14ac:dyDescent="0.3">
      <c r="A541" s="10"/>
      <c r="B541" s="10"/>
      <c r="C541" s="10"/>
      <c r="D541" s="15"/>
      <c r="E541" s="16"/>
      <c r="F541" s="17"/>
      <c r="G541" s="17"/>
      <c r="H541" s="17"/>
      <c r="I541" s="17"/>
      <c r="J541" s="17"/>
      <c r="L541" s="1"/>
      <c r="M541" s="1"/>
      <c r="N541" s="1"/>
      <c r="O541" s="1"/>
      <c r="Y541" s="17"/>
      <c r="Z541" s="17"/>
      <c r="AA541" s="17"/>
      <c r="AB541" s="17"/>
    </row>
    <row r="542" spans="1:28" x14ac:dyDescent="0.3">
      <c r="A542" s="10"/>
      <c r="B542" s="10"/>
      <c r="C542" s="10"/>
      <c r="D542" s="15"/>
      <c r="E542" s="16"/>
      <c r="F542" s="17"/>
      <c r="G542" s="17"/>
      <c r="H542" s="17"/>
      <c r="I542" s="17"/>
      <c r="J542" s="17"/>
      <c r="L542" s="1"/>
      <c r="M542" s="1"/>
      <c r="N542" s="1"/>
      <c r="O542" s="1"/>
      <c r="Y542" s="17"/>
      <c r="Z542" s="17"/>
      <c r="AA542" s="17"/>
      <c r="AB542" s="17"/>
    </row>
    <row r="543" spans="1:28" x14ac:dyDescent="0.3">
      <c r="A543" s="10"/>
      <c r="B543" s="10"/>
      <c r="C543" s="10"/>
      <c r="D543" s="15"/>
      <c r="E543" s="16"/>
      <c r="F543" s="17"/>
      <c r="G543" s="17"/>
      <c r="H543" s="17"/>
      <c r="I543" s="17"/>
      <c r="J543" s="17"/>
      <c r="L543" s="1"/>
      <c r="M543" s="1"/>
      <c r="N543" s="1"/>
      <c r="O543" s="1"/>
      <c r="Y543" s="17"/>
      <c r="Z543" s="17"/>
      <c r="AA543" s="17"/>
      <c r="AB543" s="17"/>
    </row>
    <row r="544" spans="1:28" x14ac:dyDescent="0.3">
      <c r="A544" s="10"/>
      <c r="B544" s="10"/>
      <c r="C544" s="10"/>
      <c r="D544" s="15"/>
      <c r="E544" s="16"/>
      <c r="F544" s="17"/>
      <c r="G544" s="17"/>
      <c r="H544" s="17"/>
      <c r="I544" s="17"/>
      <c r="J544" s="17"/>
      <c r="L544" s="1"/>
      <c r="M544" s="1"/>
      <c r="N544" s="1"/>
      <c r="O544" s="1"/>
      <c r="Y544" s="17"/>
      <c r="Z544" s="17"/>
      <c r="AA544" s="17"/>
      <c r="AB544" s="17"/>
    </row>
    <row r="545" spans="1:28" x14ac:dyDescent="0.3">
      <c r="A545" s="10"/>
      <c r="B545" s="10"/>
      <c r="C545" s="10"/>
      <c r="D545" s="15"/>
      <c r="E545" s="16"/>
      <c r="F545" s="17"/>
      <c r="G545" s="17"/>
      <c r="H545" s="17"/>
      <c r="I545" s="17"/>
      <c r="J545" s="17"/>
      <c r="L545" s="1"/>
      <c r="M545" s="1"/>
      <c r="N545" s="1"/>
      <c r="O545" s="1"/>
      <c r="Y545" s="17"/>
      <c r="Z545" s="17"/>
      <c r="AA545" s="17"/>
      <c r="AB545" s="17"/>
    </row>
    <row r="546" spans="1:28" x14ac:dyDescent="0.3">
      <c r="A546" s="10"/>
      <c r="B546" s="10"/>
      <c r="C546" s="10"/>
      <c r="D546" s="15"/>
      <c r="E546" s="16"/>
      <c r="F546" s="17"/>
      <c r="G546" s="17"/>
      <c r="H546" s="17"/>
      <c r="I546" s="17"/>
      <c r="J546" s="17"/>
      <c r="L546" s="1"/>
      <c r="M546" s="1"/>
      <c r="N546" s="1"/>
      <c r="O546" s="1"/>
      <c r="Y546" s="17"/>
      <c r="Z546" s="17"/>
      <c r="AA546" s="17"/>
      <c r="AB546" s="17"/>
    </row>
    <row r="547" spans="1:28" x14ac:dyDescent="0.3">
      <c r="A547" s="10"/>
      <c r="B547" s="10"/>
      <c r="C547" s="10"/>
      <c r="D547" s="15"/>
      <c r="E547" s="16"/>
      <c r="F547" s="17"/>
      <c r="G547" s="17"/>
      <c r="H547" s="17"/>
      <c r="I547" s="17"/>
      <c r="J547" s="17"/>
      <c r="L547" s="1"/>
      <c r="M547" s="1"/>
      <c r="N547" s="1"/>
      <c r="O547" s="1"/>
      <c r="Y547" s="17"/>
      <c r="Z547" s="17"/>
      <c r="AA547" s="17"/>
      <c r="AB547" s="17"/>
    </row>
    <row r="548" spans="1:28" x14ac:dyDescent="0.3">
      <c r="A548" s="10"/>
      <c r="B548" s="10"/>
      <c r="C548" s="10"/>
      <c r="D548" s="15"/>
      <c r="E548" s="16"/>
      <c r="F548" s="17"/>
      <c r="G548" s="17"/>
      <c r="H548" s="17"/>
      <c r="I548" s="17"/>
      <c r="J548" s="17"/>
      <c r="L548" s="1"/>
      <c r="M548" s="1"/>
      <c r="N548" s="1"/>
      <c r="O548" s="1"/>
      <c r="Y548" s="17"/>
      <c r="Z548" s="17"/>
      <c r="AA548" s="17"/>
      <c r="AB548" s="17"/>
    </row>
    <row r="549" spans="1:28" x14ac:dyDescent="0.3">
      <c r="A549" s="10"/>
      <c r="B549" s="10"/>
      <c r="C549" s="10"/>
      <c r="D549" s="15"/>
      <c r="E549" s="16"/>
      <c r="F549" s="17"/>
      <c r="G549" s="17"/>
      <c r="H549" s="17"/>
      <c r="I549" s="17"/>
      <c r="J549" s="17"/>
      <c r="L549" s="1"/>
      <c r="M549" s="1"/>
      <c r="N549" s="1"/>
      <c r="O549" s="1"/>
      <c r="Y549" s="17"/>
      <c r="Z549" s="17"/>
      <c r="AA549" s="17"/>
      <c r="AB549" s="17"/>
    </row>
    <row r="550" spans="1:28" x14ac:dyDescent="0.3">
      <c r="A550" s="10"/>
      <c r="B550" s="10"/>
      <c r="C550" s="10"/>
      <c r="D550" s="15"/>
      <c r="E550" s="16"/>
      <c r="F550" s="17"/>
      <c r="G550" s="17"/>
      <c r="H550" s="17"/>
      <c r="I550" s="17"/>
      <c r="J550" s="17"/>
      <c r="L550" s="1"/>
      <c r="M550" s="1"/>
      <c r="N550" s="1"/>
      <c r="O550" s="1"/>
      <c r="Y550" s="17"/>
      <c r="Z550" s="17"/>
      <c r="AA550" s="17"/>
      <c r="AB550" s="17"/>
    </row>
    <row r="551" spans="1:28" x14ac:dyDescent="0.3">
      <c r="A551" s="10"/>
      <c r="B551" s="10"/>
      <c r="C551" s="10"/>
      <c r="D551" s="15"/>
      <c r="E551" s="16"/>
      <c r="F551" s="17"/>
      <c r="G551" s="17"/>
      <c r="H551" s="17"/>
      <c r="I551" s="17"/>
      <c r="J551" s="17"/>
      <c r="L551" s="1"/>
      <c r="M551" s="1"/>
      <c r="N551" s="1"/>
      <c r="O551" s="1"/>
      <c r="Y551" s="17"/>
      <c r="Z551" s="17"/>
      <c r="AA551" s="17"/>
      <c r="AB551" s="17"/>
    </row>
    <row r="552" spans="1:28" x14ac:dyDescent="0.3">
      <c r="A552" s="10"/>
      <c r="B552" s="10"/>
      <c r="C552" s="10"/>
      <c r="D552" s="15"/>
      <c r="E552" s="16"/>
      <c r="F552" s="17"/>
      <c r="G552" s="17"/>
      <c r="H552" s="17"/>
      <c r="I552" s="17"/>
      <c r="J552" s="17"/>
      <c r="L552" s="1"/>
      <c r="M552" s="1"/>
      <c r="N552" s="1"/>
      <c r="O552" s="1"/>
      <c r="Y552" s="17"/>
      <c r="Z552" s="17"/>
      <c r="AA552" s="17"/>
      <c r="AB552" s="17"/>
    </row>
    <row r="553" spans="1:28" x14ac:dyDescent="0.3">
      <c r="A553" s="10"/>
      <c r="B553" s="10"/>
      <c r="C553" s="10"/>
      <c r="D553" s="15"/>
      <c r="E553" s="16"/>
      <c r="F553" s="17"/>
      <c r="G553" s="17"/>
      <c r="H553" s="17"/>
      <c r="I553" s="17"/>
      <c r="J553" s="17"/>
      <c r="L553" s="1"/>
      <c r="M553" s="1"/>
      <c r="N553" s="1"/>
      <c r="O553" s="1"/>
      <c r="Y553" s="17"/>
      <c r="Z553" s="17"/>
      <c r="AA553" s="17"/>
      <c r="AB553" s="17"/>
    </row>
    <row r="554" spans="1:28" x14ac:dyDescent="0.3">
      <c r="A554" s="10"/>
      <c r="B554" s="10"/>
      <c r="C554" s="10"/>
      <c r="D554" s="15"/>
      <c r="E554" s="16"/>
      <c r="F554" s="17"/>
      <c r="G554" s="17"/>
      <c r="H554" s="17"/>
      <c r="I554" s="17"/>
      <c r="J554" s="17"/>
      <c r="L554" s="1"/>
      <c r="M554" s="1"/>
      <c r="N554" s="1"/>
      <c r="O554" s="1"/>
      <c r="Y554" s="17"/>
      <c r="Z554" s="17"/>
      <c r="AA554" s="17"/>
      <c r="AB554" s="17"/>
    </row>
    <row r="555" spans="1:28" x14ac:dyDescent="0.3">
      <c r="A555" s="10"/>
      <c r="B555" s="10"/>
      <c r="C555" s="10"/>
      <c r="D555" s="15"/>
      <c r="E555" s="16"/>
      <c r="F555" s="17"/>
      <c r="G555" s="17"/>
      <c r="H555" s="17"/>
      <c r="I555" s="17"/>
      <c r="J555" s="17"/>
      <c r="L555" s="1"/>
      <c r="M555" s="1"/>
      <c r="N555" s="1"/>
      <c r="O555" s="1"/>
      <c r="Y555" s="17"/>
      <c r="Z555" s="17"/>
      <c r="AA555" s="17"/>
      <c r="AB555" s="17"/>
    </row>
    <row r="556" spans="1:28" x14ac:dyDescent="0.3">
      <c r="A556" s="10"/>
      <c r="B556" s="10"/>
      <c r="C556" s="10"/>
      <c r="D556" s="15"/>
      <c r="E556" s="16"/>
      <c r="F556" s="17"/>
      <c r="G556" s="17"/>
      <c r="H556" s="17"/>
      <c r="I556" s="17"/>
      <c r="J556" s="17"/>
      <c r="L556" s="1"/>
      <c r="M556" s="1"/>
      <c r="N556" s="1"/>
      <c r="O556" s="1"/>
      <c r="Y556" s="17"/>
      <c r="Z556" s="17"/>
      <c r="AA556" s="17"/>
      <c r="AB556" s="17"/>
    </row>
    <row r="557" spans="1:28" x14ac:dyDescent="0.3">
      <c r="A557" s="10"/>
      <c r="B557" s="10"/>
      <c r="C557" s="10"/>
      <c r="D557" s="15"/>
      <c r="E557" s="16"/>
      <c r="F557" s="17"/>
      <c r="G557" s="17"/>
      <c r="H557" s="17"/>
      <c r="I557" s="17"/>
      <c r="J557" s="17"/>
      <c r="L557" s="1"/>
      <c r="M557" s="1"/>
      <c r="N557" s="1"/>
      <c r="O557" s="1"/>
      <c r="Y557" s="17"/>
      <c r="Z557" s="17"/>
      <c r="AA557" s="17"/>
      <c r="AB557" s="17"/>
    </row>
    <row r="558" spans="1:28" x14ac:dyDescent="0.3">
      <c r="A558" s="10"/>
      <c r="B558" s="10"/>
      <c r="C558" s="10"/>
      <c r="D558" s="15"/>
      <c r="E558" s="16"/>
      <c r="F558" s="17"/>
      <c r="G558" s="17"/>
      <c r="H558" s="17"/>
      <c r="I558" s="17"/>
      <c r="J558" s="17"/>
      <c r="L558" s="1"/>
      <c r="M558" s="1"/>
      <c r="N558" s="1"/>
      <c r="O558" s="1"/>
      <c r="Y558" s="17"/>
      <c r="Z558" s="17"/>
      <c r="AA558" s="17"/>
      <c r="AB558" s="17"/>
    </row>
    <row r="559" spans="1:28" x14ac:dyDescent="0.3">
      <c r="A559" s="10"/>
      <c r="B559" s="10"/>
      <c r="C559" s="10"/>
      <c r="D559" s="15"/>
      <c r="E559" s="16"/>
      <c r="F559" s="17"/>
      <c r="G559" s="17"/>
      <c r="H559" s="17"/>
      <c r="I559" s="17"/>
      <c r="J559" s="17"/>
      <c r="L559" s="1"/>
      <c r="M559" s="1"/>
      <c r="N559" s="1"/>
      <c r="O559" s="1"/>
      <c r="Y559" s="17"/>
      <c r="Z559" s="17"/>
      <c r="AA559" s="17"/>
      <c r="AB559" s="17"/>
    </row>
    <row r="560" spans="1:28" x14ac:dyDescent="0.3">
      <c r="A560" s="10"/>
      <c r="B560" s="10"/>
      <c r="C560" s="10"/>
      <c r="D560" s="15"/>
      <c r="E560" s="16"/>
      <c r="F560" s="17"/>
      <c r="G560" s="17"/>
      <c r="H560" s="17"/>
      <c r="I560" s="17"/>
      <c r="J560" s="17"/>
      <c r="L560" s="1"/>
      <c r="M560" s="1"/>
      <c r="N560" s="1"/>
      <c r="O560" s="1"/>
      <c r="Y560" s="17"/>
      <c r="Z560" s="17"/>
      <c r="AA560" s="17"/>
      <c r="AB560" s="17"/>
    </row>
    <row r="561" spans="1:28" x14ac:dyDescent="0.3">
      <c r="A561" s="10"/>
      <c r="B561" s="10"/>
      <c r="C561" s="10"/>
      <c r="D561" s="15"/>
      <c r="E561" s="16"/>
      <c r="F561" s="17"/>
      <c r="G561" s="17"/>
      <c r="H561" s="17"/>
      <c r="I561" s="17"/>
      <c r="J561" s="17"/>
      <c r="L561" s="1"/>
      <c r="M561" s="1"/>
      <c r="N561" s="1"/>
      <c r="O561" s="1"/>
      <c r="Y561" s="17"/>
      <c r="Z561" s="17"/>
      <c r="AA561" s="17"/>
      <c r="AB561" s="17"/>
    </row>
    <row r="562" spans="1:28" x14ac:dyDescent="0.3">
      <c r="A562" s="10"/>
      <c r="B562" s="10"/>
      <c r="C562" s="10"/>
      <c r="D562" s="15"/>
      <c r="E562" s="16"/>
      <c r="F562" s="17"/>
      <c r="G562" s="17"/>
      <c r="H562" s="17"/>
      <c r="I562" s="17"/>
      <c r="J562" s="17"/>
      <c r="L562" s="1"/>
      <c r="M562" s="1"/>
      <c r="N562" s="1"/>
      <c r="O562" s="1"/>
      <c r="Y562" s="17"/>
      <c r="Z562" s="17"/>
      <c r="AA562" s="17"/>
      <c r="AB562" s="17"/>
    </row>
    <row r="563" spans="1:28" x14ac:dyDescent="0.3">
      <c r="A563" s="10"/>
      <c r="B563" s="10"/>
      <c r="C563" s="10"/>
      <c r="D563" s="15"/>
      <c r="E563" s="16"/>
      <c r="F563" s="17"/>
      <c r="G563" s="17"/>
      <c r="H563" s="17"/>
      <c r="I563" s="17"/>
      <c r="J563" s="17"/>
      <c r="L563" s="1"/>
      <c r="M563" s="1"/>
      <c r="N563" s="1"/>
      <c r="O563" s="1"/>
      <c r="Y563" s="17"/>
      <c r="Z563" s="17"/>
      <c r="AA563" s="17"/>
      <c r="AB563" s="17"/>
    </row>
    <row r="564" spans="1:28" x14ac:dyDescent="0.3">
      <c r="A564" s="10"/>
      <c r="B564" s="10"/>
      <c r="C564" s="10"/>
      <c r="D564" s="15"/>
      <c r="E564" s="16"/>
      <c r="F564" s="17"/>
      <c r="G564" s="17"/>
      <c r="H564" s="17"/>
      <c r="I564" s="17"/>
      <c r="J564" s="17"/>
      <c r="L564" s="1"/>
      <c r="M564" s="1"/>
      <c r="N564" s="1"/>
      <c r="O564" s="1"/>
      <c r="Y564" s="17"/>
      <c r="Z564" s="17"/>
      <c r="AA564" s="17"/>
      <c r="AB564" s="17"/>
    </row>
    <row r="565" spans="1:28" x14ac:dyDescent="0.3">
      <c r="A565" s="10"/>
      <c r="B565" s="10"/>
      <c r="C565" s="10"/>
      <c r="D565" s="15"/>
      <c r="E565" s="16"/>
      <c r="F565" s="17"/>
      <c r="G565" s="17"/>
      <c r="H565" s="17"/>
      <c r="I565" s="17"/>
      <c r="J565" s="17"/>
      <c r="L565" s="1"/>
      <c r="M565" s="1"/>
      <c r="N565" s="1"/>
      <c r="O565" s="1"/>
      <c r="Y565" s="17"/>
      <c r="Z565" s="17"/>
      <c r="AA565" s="17"/>
      <c r="AB565" s="17"/>
    </row>
    <row r="566" spans="1:28" x14ac:dyDescent="0.3">
      <c r="A566" s="10"/>
      <c r="B566" s="10"/>
      <c r="C566" s="10"/>
      <c r="D566" s="15"/>
      <c r="E566" s="16"/>
      <c r="F566" s="17"/>
      <c r="G566" s="17"/>
      <c r="H566" s="17"/>
      <c r="I566" s="17"/>
      <c r="J566" s="17"/>
      <c r="L566" s="1"/>
      <c r="M566" s="1"/>
      <c r="N566" s="1"/>
      <c r="O566" s="1"/>
      <c r="Y566" s="17"/>
      <c r="Z566" s="17"/>
      <c r="AA566" s="17"/>
      <c r="AB566" s="17"/>
    </row>
    <row r="567" spans="1:28" x14ac:dyDescent="0.3">
      <c r="A567" s="10"/>
      <c r="B567" s="10"/>
      <c r="C567" s="10"/>
      <c r="D567" s="15"/>
      <c r="E567" s="16"/>
      <c r="F567" s="17"/>
      <c r="G567" s="17"/>
      <c r="H567" s="17"/>
      <c r="I567" s="17"/>
      <c r="J567" s="17"/>
      <c r="L567" s="1"/>
      <c r="M567" s="1"/>
      <c r="N567" s="1"/>
      <c r="O567" s="1"/>
      <c r="Y567" s="17"/>
      <c r="Z567" s="17"/>
      <c r="AA567" s="17"/>
      <c r="AB567" s="17"/>
    </row>
    <row r="568" spans="1:28" x14ac:dyDescent="0.3">
      <c r="A568" s="10"/>
      <c r="B568" s="10"/>
      <c r="C568" s="10"/>
      <c r="D568" s="15"/>
      <c r="E568" s="16"/>
      <c r="F568" s="17"/>
      <c r="G568" s="17"/>
      <c r="H568" s="17"/>
      <c r="I568" s="17"/>
      <c r="J568" s="17"/>
      <c r="L568" s="1"/>
      <c r="M568" s="1"/>
      <c r="N568" s="1"/>
      <c r="O568" s="1"/>
      <c r="Y568" s="17"/>
      <c r="Z568" s="17"/>
      <c r="AA568" s="17"/>
      <c r="AB568" s="17"/>
    </row>
    <row r="569" spans="1:28" x14ac:dyDescent="0.3">
      <c r="A569" s="10"/>
      <c r="B569" s="10"/>
      <c r="C569" s="10"/>
      <c r="D569" s="15"/>
      <c r="E569" s="16"/>
      <c r="F569" s="17"/>
      <c r="G569" s="17"/>
      <c r="H569" s="17"/>
      <c r="I569" s="17"/>
      <c r="J569" s="17"/>
      <c r="L569" s="1"/>
      <c r="M569" s="1"/>
      <c r="N569" s="1"/>
      <c r="O569" s="1"/>
      <c r="Y569" s="17"/>
      <c r="Z569" s="17"/>
      <c r="AA569" s="17"/>
      <c r="AB569" s="17"/>
    </row>
    <row r="570" spans="1:28" x14ac:dyDescent="0.3">
      <c r="A570" s="10"/>
      <c r="B570" s="10"/>
      <c r="C570" s="10"/>
      <c r="D570" s="15"/>
      <c r="E570" s="16"/>
      <c r="F570" s="17"/>
      <c r="G570" s="17"/>
      <c r="H570" s="17"/>
      <c r="I570" s="17"/>
      <c r="J570" s="17"/>
      <c r="L570" s="1"/>
      <c r="M570" s="1"/>
      <c r="N570" s="1"/>
      <c r="O570" s="1"/>
      <c r="Y570" s="17"/>
      <c r="Z570" s="17"/>
      <c r="AA570" s="17"/>
      <c r="AB570" s="17"/>
    </row>
    <row r="571" spans="1:28" x14ac:dyDescent="0.3">
      <c r="A571" s="10"/>
      <c r="B571" s="10"/>
      <c r="C571" s="10"/>
      <c r="D571" s="15"/>
      <c r="E571" s="16"/>
      <c r="F571" s="17"/>
      <c r="G571" s="17"/>
      <c r="H571" s="17"/>
      <c r="I571" s="17"/>
      <c r="J571" s="17"/>
      <c r="L571" s="1"/>
      <c r="M571" s="1"/>
      <c r="N571" s="1"/>
      <c r="O571" s="1"/>
      <c r="Y571" s="17"/>
      <c r="Z571" s="17"/>
      <c r="AA571" s="17"/>
      <c r="AB571" s="17"/>
    </row>
    <row r="572" spans="1:28" x14ac:dyDescent="0.3">
      <c r="A572" s="10"/>
      <c r="B572" s="10"/>
      <c r="C572" s="10"/>
      <c r="D572" s="15"/>
      <c r="E572" s="16"/>
      <c r="F572" s="17"/>
      <c r="G572" s="17"/>
      <c r="H572" s="17"/>
      <c r="I572" s="17"/>
      <c r="J572" s="17"/>
      <c r="L572" s="1"/>
      <c r="M572" s="1"/>
      <c r="N572" s="1"/>
      <c r="O572" s="1"/>
      <c r="Y572" s="17"/>
      <c r="Z572" s="17"/>
      <c r="AA572" s="17"/>
      <c r="AB572" s="17"/>
    </row>
    <row r="573" spans="1:28" x14ac:dyDescent="0.3">
      <c r="A573" s="10"/>
      <c r="B573" s="10"/>
      <c r="C573" s="10"/>
      <c r="D573" s="15"/>
      <c r="E573" s="16"/>
      <c r="F573" s="17"/>
      <c r="G573" s="17"/>
      <c r="H573" s="17"/>
      <c r="I573" s="17"/>
      <c r="J573" s="17"/>
      <c r="L573" s="1"/>
      <c r="M573" s="1"/>
      <c r="N573" s="1"/>
      <c r="O573" s="1"/>
      <c r="Y573" s="17"/>
      <c r="Z573" s="17"/>
      <c r="AA573" s="17"/>
      <c r="AB573" s="17"/>
    </row>
    <row r="574" spans="1:28" x14ac:dyDescent="0.3">
      <c r="A574" s="10"/>
      <c r="B574" s="10"/>
      <c r="C574" s="10"/>
      <c r="D574" s="15"/>
      <c r="E574" s="16"/>
      <c r="F574" s="17"/>
      <c r="G574" s="17"/>
      <c r="H574" s="17"/>
      <c r="I574" s="17"/>
      <c r="J574" s="17"/>
      <c r="L574" s="1"/>
      <c r="M574" s="1"/>
      <c r="N574" s="1"/>
      <c r="O574" s="1"/>
      <c r="Y574" s="17"/>
      <c r="Z574" s="17"/>
      <c r="AA574" s="17"/>
      <c r="AB574" s="17"/>
    </row>
    <row r="575" spans="1:28" x14ac:dyDescent="0.3">
      <c r="A575" s="10"/>
      <c r="B575" s="10"/>
      <c r="C575" s="10"/>
      <c r="D575" s="15"/>
      <c r="E575" s="16"/>
      <c r="F575" s="17"/>
      <c r="G575" s="17"/>
      <c r="H575" s="17"/>
      <c r="I575" s="17"/>
      <c r="J575" s="17"/>
      <c r="L575" s="1"/>
      <c r="M575" s="1"/>
      <c r="N575" s="1"/>
      <c r="O575" s="1"/>
      <c r="Y575" s="17"/>
      <c r="Z575" s="17"/>
      <c r="AA575" s="17"/>
      <c r="AB575" s="17"/>
    </row>
    <row r="576" spans="1:28" x14ac:dyDescent="0.3">
      <c r="A576" s="10"/>
      <c r="B576" s="10"/>
      <c r="C576" s="10"/>
      <c r="D576" s="15"/>
      <c r="E576" s="16"/>
      <c r="F576" s="17"/>
      <c r="G576" s="17"/>
      <c r="H576" s="17"/>
      <c r="I576" s="17"/>
      <c r="J576" s="17"/>
      <c r="L576" s="1"/>
      <c r="M576" s="1"/>
      <c r="N576" s="1"/>
      <c r="O576" s="1"/>
      <c r="Y576" s="17"/>
      <c r="Z576" s="17"/>
      <c r="AA576" s="17"/>
      <c r="AB576" s="17"/>
    </row>
    <row r="577" spans="1:28" x14ac:dyDescent="0.3">
      <c r="A577" s="10"/>
      <c r="B577" s="10"/>
      <c r="C577" s="10"/>
      <c r="D577" s="15"/>
      <c r="E577" s="16"/>
      <c r="F577" s="17"/>
      <c r="G577" s="17"/>
      <c r="H577" s="17"/>
      <c r="I577" s="17"/>
      <c r="J577" s="17"/>
      <c r="L577" s="1"/>
      <c r="M577" s="1"/>
      <c r="N577" s="1"/>
      <c r="O577" s="1"/>
      <c r="Y577" s="17"/>
      <c r="Z577" s="17"/>
      <c r="AA577" s="17"/>
      <c r="AB577" s="17"/>
    </row>
    <row r="578" spans="1:28" x14ac:dyDescent="0.3">
      <c r="A578" s="10"/>
      <c r="B578" s="10"/>
      <c r="C578" s="10"/>
      <c r="D578" s="15"/>
      <c r="E578" s="16"/>
      <c r="F578" s="17"/>
      <c r="G578" s="17"/>
      <c r="H578" s="17"/>
      <c r="I578" s="17"/>
      <c r="J578" s="17"/>
      <c r="L578" s="1"/>
      <c r="M578" s="1"/>
      <c r="N578" s="1"/>
      <c r="O578" s="1"/>
      <c r="Y578" s="17"/>
      <c r="Z578" s="17"/>
      <c r="AA578" s="17"/>
      <c r="AB578" s="17"/>
    </row>
    <row r="579" spans="1:28" x14ac:dyDescent="0.3">
      <c r="A579" s="10"/>
      <c r="B579" s="10"/>
      <c r="C579" s="10"/>
      <c r="D579" s="15"/>
      <c r="E579" s="16"/>
      <c r="F579" s="17"/>
      <c r="G579" s="17"/>
      <c r="H579" s="17"/>
      <c r="I579" s="17"/>
      <c r="J579" s="17"/>
      <c r="L579" s="1"/>
      <c r="M579" s="1"/>
      <c r="N579" s="1"/>
      <c r="O579" s="1"/>
      <c r="Y579" s="17"/>
      <c r="Z579" s="17"/>
      <c r="AA579" s="17"/>
      <c r="AB579" s="17"/>
    </row>
    <row r="580" spans="1:28" x14ac:dyDescent="0.3">
      <c r="A580"/>
      <c r="B580" s="10"/>
      <c r="C580" s="10"/>
      <c r="D580" s="15"/>
      <c r="E580" s="16"/>
      <c r="F580" s="17"/>
      <c r="G580" s="17"/>
      <c r="H580" s="17"/>
      <c r="I580" s="17"/>
      <c r="J580" s="17"/>
      <c r="L580" s="1"/>
      <c r="M580" s="1"/>
      <c r="N580" s="1"/>
      <c r="O580" s="1"/>
      <c r="Y580" s="17"/>
      <c r="Z580" s="17"/>
      <c r="AA580" s="17"/>
      <c r="AB580" s="17"/>
    </row>
    <row r="581" spans="1:28" x14ac:dyDescent="0.3">
      <c r="A581" s="10"/>
      <c r="B581" s="10"/>
      <c r="C581" s="10"/>
      <c r="D581" s="15"/>
      <c r="E581" s="16"/>
      <c r="F581" s="17"/>
      <c r="G581" s="17"/>
      <c r="H581" s="17"/>
      <c r="I581" s="17"/>
      <c r="J581" s="17"/>
      <c r="L581" s="1"/>
      <c r="M581" s="1"/>
      <c r="N581" s="1"/>
      <c r="O581" s="1"/>
      <c r="Y581" s="17"/>
      <c r="Z581" s="17"/>
      <c r="AA581" s="17"/>
      <c r="AB581" s="17"/>
    </row>
    <row r="582" spans="1:28" x14ac:dyDescent="0.3">
      <c r="A582" s="10"/>
      <c r="B582" s="10"/>
      <c r="C582" s="10"/>
      <c r="D582" s="15"/>
      <c r="E582" s="16"/>
      <c r="F582" s="17"/>
      <c r="G582" s="17"/>
      <c r="H582" s="17"/>
      <c r="I582" s="17"/>
      <c r="J582" s="17"/>
      <c r="L582" s="1"/>
      <c r="M582" s="1"/>
      <c r="N582" s="1"/>
      <c r="O582" s="1"/>
      <c r="Y582" s="17"/>
      <c r="Z582" s="17"/>
      <c r="AA582" s="17"/>
      <c r="AB582" s="17"/>
    </row>
  </sheetData>
  <sheetProtection sheet="1" objects="1" scenarios="1"/>
  <autoFilter ref="A1:K582" xr:uid="{46E79F68-B3DD-432F-A559-C568AD2B1272}"/>
  <sortState xmlns:xlrd2="http://schemas.microsoft.com/office/spreadsheetml/2017/richdata2" ref="A2:T262">
    <sortCondition ref="A2:A262"/>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849B34C982F9E4688F85CF0D4E80FD8" ma:contentTypeVersion="11" ma:contentTypeDescription="Crée un document." ma:contentTypeScope="" ma:versionID="48d0f586fff6c7acaf3c8076decfcd82">
  <xsd:schema xmlns:xsd="http://www.w3.org/2001/XMLSchema" xmlns:xs="http://www.w3.org/2001/XMLSchema" xmlns:p="http://schemas.microsoft.com/office/2006/metadata/properties" xmlns:ns2="8f361624-8f60-4cbc-859f-427d537fb8dc" xmlns:ns3="E97A38F8-F895-4753-85EC-5EB5FE6B3F4B" xmlns:ns4="e97a38f8-f895-4753-85ec-5eb5fe6b3f4b" xmlns:ns5="23ebabd6-8a27-4753-b152-3775c1a7e940" targetNamespace="http://schemas.microsoft.com/office/2006/metadata/properties" ma:root="true" ma:fieldsID="a06ddf345e89e5cc4f68325518c4dbf3" ns2:_="" ns3:_="" ns4:_="" ns5:_="">
    <xsd:import namespace="8f361624-8f60-4cbc-859f-427d537fb8dc"/>
    <xsd:import namespace="E97A38F8-F895-4753-85EC-5EB5FE6B3F4B"/>
    <xsd:import namespace="e97a38f8-f895-4753-85ec-5eb5fe6b3f4b"/>
    <xsd:import namespace="23ebabd6-8a27-4753-b152-3775c1a7e940"/>
    <xsd:element name="properties">
      <xsd:complexType>
        <xsd:sequence>
          <xsd:element name="documentManagement">
            <xsd:complexType>
              <xsd:all>
                <xsd:element ref="ns2:_dlc_DocId" minOccurs="0"/>
                <xsd:element ref="ns2:_dlc_DocIdUrl" minOccurs="0"/>
                <xsd:element ref="ns2:_dlc_DocIdPersistId" minOccurs="0"/>
                <xsd:element ref="ns3:Contenu_x0020_Document"/>
                <xsd:element ref="ns3:Origine"/>
                <xsd:element ref="ns3:Source_x0020_origine_x0020_externe" minOccurs="0"/>
                <xsd:element ref="ns3:MediaServiceMetadata" minOccurs="0"/>
                <xsd:element ref="ns3:MediaServiceFastMetadata" minOccurs="0"/>
                <xsd:element ref="ns4:MediaServiceObjectDetectorVersions" minOccurs="0"/>
                <xsd:element ref="ns5:SharedWithUsers" minOccurs="0"/>
                <xsd:element ref="ns5:SharedWithDetails" minOccurs="0"/>
                <xsd:element ref="ns4:MediaServiceSearchProperties" minOccurs="0"/>
                <xsd:element ref="ns4:lcf76f155ced4ddcb4097134ff3c332f" minOccurs="0"/>
                <xsd:element ref="ns2:TaxCatchAll" minOccurs="0"/>
                <xsd:element ref="ns4:MediaServiceDateTake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61624-8f60-4cbc-859f-427d537fb8dc"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true">
      <xsd:simpleType>
        <xsd:restriction base="dms:Boolean"/>
      </xsd:simpleType>
    </xsd:element>
    <xsd:element name="TaxCatchAll" ma:index="22" nillable="true" ma:displayName="Taxonomy Catch All Column" ma:hidden="true" ma:list="{F374B4F9-8B21-443C-8F4C-2AB8F5B10CDB}" ma:internalName="TaxCatchAll" ma:showField="CatchAllData" ma:web="{23ebabd6-8a27-4753-b152-3775c1a7e94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97A38F8-F895-4753-85EC-5EB5FE6B3F4B" elementFormDefault="qualified">
    <xsd:import namespace="http://schemas.microsoft.com/office/2006/documentManagement/types"/>
    <xsd:import namespace="http://schemas.microsoft.com/office/infopath/2007/PartnerControls"/>
    <xsd:element name="Contenu_x0020_Document" ma:index="11" ma:displayName="Contenu Document" ma:default="Document de travail" ma:format="Dropdown" ma:internalName="Contenu_x0020_Document">
      <xsd:simpleType>
        <xsd:restriction base="dms:Choice">
          <xsd:enumeration value="Demande &amp; cahier des charges"/>
          <xsd:enumeration value="Offre &amp; candidature"/>
          <xsd:enumeration value="Contrat &amp; Engagement"/>
          <xsd:enumeration value="Livrable"/>
          <xsd:enumeration value="Gestion du projet"/>
          <xsd:enumeration value="Documentation &amp; données"/>
          <xsd:enumeration value="Analyse documentaire"/>
          <xsd:enumeration value="Analyse de données"/>
          <xsd:enumeration value="Entretien &amp; groupe de travail"/>
          <xsd:enumeration value="Document de travail"/>
          <xsd:enumeration value="Référentiel"/>
          <xsd:enumeration value="Support de formation"/>
          <xsd:enumeration value="Courrier &amp; communication"/>
          <xsd:enumeration value="Plainte"/>
          <xsd:enumeration value="Attestation de collaboration"/>
        </xsd:restriction>
      </xsd:simpleType>
    </xsd:element>
    <xsd:element name="Origine" ma:index="12" ma:displayName="Origine" ma:default="COMASE" ma:description="Document Comase ou externe" ma:format="Dropdown" ma:internalName="Origine">
      <xsd:simpleType>
        <xsd:restriction base="dms:Choice">
          <xsd:enumeration value="COMASE"/>
          <xsd:enumeration value="EXTERNE"/>
        </xsd:restriction>
      </xsd:simpleType>
    </xsd:element>
    <xsd:element name="Source_x0020_origine_x0020_externe" ma:index="13" nillable="true" ma:displayName="Source origine externe" ma:description="Source des documents d'origine externe" ma:internalName="Source_x0020_origine_x0020_externe">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7a38f8-f895-4753-85ec-5eb5fe6b3f4b" elementFormDefault="qualified">
    <xsd:import namespace="http://schemas.microsoft.com/office/2006/documentManagement/types"/>
    <xsd:import namespace="http://schemas.microsoft.com/office/infopath/2007/PartnerControls"/>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ae8ead56-652e-4f85-bc5f-db75c73657f4"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ebabd6-8a27-4753-b152-3775c1a7e940"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ontenu_x0020_Document xmlns="E97A38F8-F895-4753-85EC-5EB5FE6B3F4B">Document de travail</Contenu_x0020_Document>
    <_dlc_DocId xmlns="8f361624-8f60-4cbc-859f-427d537fb8dc">COMASE-1076817486-1262</_dlc_DocId>
    <Origine xmlns="E97A38F8-F895-4753-85EC-5EB5FE6B3F4B">COMASE</Origine>
    <Source_x0020_origine_x0020_externe xmlns="E97A38F8-F895-4753-85EC-5EB5FE6B3F4B" xsi:nil="true"/>
    <_dlc_DocIdUrl xmlns="8f361624-8f60-4cbc-859f-427d537fb8dc">
      <Url>https://comase.sharepoint.com/sites/ivciedechetssauvages/_layouts/15/DocIdRedir.aspx?ID=COMASE-1076817486-1262</Url>
      <Description>COMASE-1076817486-1262</Description>
    </_dlc_DocIdUrl>
    <lcf76f155ced4ddcb4097134ff3c332f xmlns="e97a38f8-f895-4753-85ec-5eb5fe6b3f4b">
      <Terms xmlns="http://schemas.microsoft.com/office/infopath/2007/PartnerControls"/>
    </lcf76f155ced4ddcb4097134ff3c332f>
    <TaxCatchAll xmlns="8f361624-8f60-4cbc-859f-427d537fb8dc" xsi:nil="true"/>
  </documentManagement>
</p:properties>
</file>

<file path=customXml/itemProps1.xml><?xml version="1.0" encoding="utf-8"?>
<ds:datastoreItem xmlns:ds="http://schemas.openxmlformats.org/officeDocument/2006/customXml" ds:itemID="{64055002-8474-40B3-88C0-15D93B9D53B7}">
  <ds:schemaRefs>
    <ds:schemaRef ds:uri="http://schemas.microsoft.com/sharepoint/v3/contenttype/forms"/>
  </ds:schemaRefs>
</ds:datastoreItem>
</file>

<file path=customXml/itemProps2.xml><?xml version="1.0" encoding="utf-8"?>
<ds:datastoreItem xmlns:ds="http://schemas.openxmlformats.org/officeDocument/2006/customXml" ds:itemID="{B3E4656D-6A31-4A79-934A-F1F798A8361B}">
  <ds:schemaRefs>
    <ds:schemaRef ds:uri="http://schemas.microsoft.com/sharepoint/events"/>
  </ds:schemaRefs>
</ds:datastoreItem>
</file>

<file path=customXml/itemProps3.xml><?xml version="1.0" encoding="utf-8"?>
<ds:datastoreItem xmlns:ds="http://schemas.openxmlformats.org/officeDocument/2006/customXml" ds:itemID="{9A5C95CF-2C04-499D-952C-251591F531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61624-8f60-4cbc-859f-427d537fb8dc"/>
    <ds:schemaRef ds:uri="E97A38F8-F895-4753-85EC-5EB5FE6B3F4B"/>
    <ds:schemaRef ds:uri="e97a38f8-f895-4753-85ec-5eb5fe6b3f4b"/>
    <ds:schemaRef ds:uri="23ebabd6-8a27-4753-b152-3775c1a7e9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D9C2374-C651-4442-8779-2BC9BC636CF3}">
  <ds:schemaRefs>
    <ds:schemaRef ds:uri="http://schemas.microsoft.com/office/2006/metadata/properties"/>
    <ds:schemaRef ds:uri="http://schemas.microsoft.com/office/infopath/2007/PartnerControls"/>
    <ds:schemaRef ds:uri="E97A38F8-F895-4753-85EC-5EB5FE6B3F4B"/>
    <ds:schemaRef ds:uri="8f361624-8f60-4cbc-859f-427d537fb8dc"/>
    <ds:schemaRef ds:uri="e97a38f8-f895-4753-85ec-5eb5fe6b3f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Readme</vt:lpstr>
      <vt:lpstr>Signalétique</vt:lpstr>
      <vt:lpstr>Balayage manuel</vt:lpstr>
      <vt:lpstr>Balayage mécanique</vt:lpstr>
      <vt:lpstr>Infrastructures de collecte</vt:lpstr>
      <vt:lpstr>Nettoyage Plages</vt:lpstr>
      <vt:lpstr>Calculs intermédiaires</vt:lpstr>
      <vt:lpstr>Résultats</vt:lpstr>
      <vt:lpstr>Données communes</vt:lpstr>
      <vt:lpstr>Paramètres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Pierre Francaux</dc:creator>
  <cp:keywords/>
  <dc:description/>
  <cp:lastModifiedBy>Chantal Van Dessel</cp:lastModifiedBy>
  <cp:revision/>
  <dcterms:created xsi:type="dcterms:W3CDTF">2025-05-28T12:38:10Z</dcterms:created>
  <dcterms:modified xsi:type="dcterms:W3CDTF">2025-12-05T09:12:21Z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0x0101000849B34C982F9E4688F85CF0D4E80FD8</vt:lpwstr>
  </property>
  <property fmtid="{D5CDD505-2E9C-101B-9397-08002B2CF9AE}" pid="4" name="_dlc_DocIdItemGuid">
    <vt:lpwstr>ff3cf87d-8cac-4ab1-ac58-8578dd4d9108</vt:lpwstr>
  </property>
</Properties>
</file>